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1__Serviços_zeladoria" sheetId="1" r:id="rId1"/>
    <sheet name="2_Encargos_Sociais" sheetId="2" r:id="rId2"/>
    <sheet name="3_CAGED" sheetId="3" r:id="rId3"/>
    <sheet name="4_BDI" sheetId="4" r:id="rId4"/>
    <sheet name="5__Depreciação" sheetId="5" r:id="rId5"/>
    <sheet name="6_Remuneração_de_capital" sheetId="6" r:id="rId6"/>
    <sheet name="7__Dimensionamento" sheetId="7" r:id="rId7"/>
  </sheets>
  <definedNames>
    <definedName name="AbaDeprec">'5__Depreciação'!$A$1</definedName>
    <definedName name="AbaRemun">'6_Remuneração_de_capital'!$A$1</definedName>
    <definedName name="_xlnm.Print_Area" localSheetId="0">'1__Serviços_zeladoria'!$A$1:$F$208</definedName>
    <definedName name="Print_Area" localSheetId="0">'1__Serviços_zeladoria'!$A$1:$F$213</definedName>
    <definedName name="Print_Area" localSheetId="1">'2_Encargos_Sociais'!$A$1:$C$36</definedName>
  </definedNames>
  <calcPr calcId="14562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38" i="1" l="1"/>
  <c r="C18" i="7" l="1"/>
  <c r="C10" i="7"/>
  <c r="C11" i="7" s="1"/>
  <c r="C13" i="4"/>
  <c r="C18" i="4" s="1"/>
  <c r="C197" i="1" s="1"/>
  <c r="F11" i="4"/>
  <c r="E11" i="4"/>
  <c r="D11" i="4"/>
  <c r="K39" i="3"/>
  <c r="K40" i="3" s="1"/>
  <c r="K41" i="3" s="1"/>
  <c r="K38" i="3"/>
  <c r="K37" i="3"/>
  <c r="K36" i="3"/>
  <c r="C34" i="3"/>
  <c r="C29" i="3"/>
  <c r="C28" i="2" s="1"/>
  <c r="C28" i="3"/>
  <c r="C17" i="2"/>
  <c r="C14" i="2"/>
  <c r="E187" i="1"/>
  <c r="E185" i="1"/>
  <c r="E186" i="1" s="1"/>
  <c r="F187" i="1" s="1"/>
  <c r="F189" i="1" s="1"/>
  <c r="E25" i="1" s="1"/>
  <c r="E178" i="1"/>
  <c r="E176" i="1"/>
  <c r="E175" i="1"/>
  <c r="E167" i="1"/>
  <c r="E165" i="1"/>
  <c r="E164" i="1"/>
  <c r="E163" i="1"/>
  <c r="E162" i="1"/>
  <c r="E161" i="1"/>
  <c r="E160" i="1"/>
  <c r="E159" i="1"/>
  <c r="E149" i="1"/>
  <c r="E145" i="1"/>
  <c r="E138" i="1"/>
  <c r="A144" i="1"/>
  <c r="E137" i="1"/>
  <c r="E136" i="1"/>
  <c r="A136" i="1"/>
  <c r="A143" i="1" s="1"/>
  <c r="D129" i="1"/>
  <c r="C129" i="1"/>
  <c r="C128" i="1"/>
  <c r="D113" i="1"/>
  <c r="E113" i="1" s="1"/>
  <c r="D112" i="1"/>
  <c r="E112" i="1" s="1"/>
  <c r="E110" i="1"/>
  <c r="D131" i="1" s="1"/>
  <c r="E131" i="1" s="1"/>
  <c r="D98" i="1"/>
  <c r="E98" i="1" s="1"/>
  <c r="D97" i="1"/>
  <c r="E97" i="1" s="1"/>
  <c r="E95" i="1"/>
  <c r="D83" i="1"/>
  <c r="E83" i="1" s="1"/>
  <c r="D82" i="1"/>
  <c r="E82" i="1" s="1"/>
  <c r="E80" i="1"/>
  <c r="D130" i="1" s="1"/>
  <c r="E130" i="1" s="1"/>
  <c r="E75" i="1"/>
  <c r="C70" i="1"/>
  <c r="D68" i="1"/>
  <c r="C68" i="1"/>
  <c r="D66" i="1"/>
  <c r="E66" i="1" s="1"/>
  <c r="D65" i="1"/>
  <c r="C65" i="1"/>
  <c r="D63" i="1"/>
  <c r="E63" i="1" s="1"/>
  <c r="D62" i="1"/>
  <c r="E62" i="1" s="1"/>
  <c r="C62" i="1"/>
  <c r="E60" i="1"/>
  <c r="E56" i="1"/>
  <c r="E51" i="1"/>
  <c r="D48" i="1"/>
  <c r="E48" i="1" s="1"/>
  <c r="D47" i="1"/>
  <c r="E47" i="1" s="1"/>
  <c r="E46" i="1"/>
  <c r="E37" i="1"/>
  <c r="A37" i="1"/>
  <c r="E36" i="1"/>
  <c r="A36" i="1"/>
  <c r="E35" i="1"/>
  <c r="A35" i="1"/>
  <c r="E34" i="1"/>
  <c r="C144" i="1" s="1"/>
  <c r="E144" i="1" s="1"/>
  <c r="A34" i="1"/>
  <c r="E33" i="1"/>
  <c r="C143" i="1" s="1"/>
  <c r="E143" i="1" s="1"/>
  <c r="A33" i="1"/>
  <c r="A32" i="1"/>
  <c r="A26" i="1"/>
  <c r="A25" i="1"/>
  <c r="A24" i="1"/>
  <c r="A22" i="1"/>
  <c r="A21" i="1"/>
  <c r="A20" i="1"/>
  <c r="A19" i="1"/>
  <c r="A18" i="1"/>
  <c r="A17" i="1"/>
  <c r="A16" i="1"/>
  <c r="A15" i="1"/>
  <c r="A14" i="1"/>
  <c r="A13" i="1"/>
  <c r="E68" i="1" l="1"/>
  <c r="D99" i="1"/>
  <c r="E99" i="1" s="1"/>
  <c r="D177" i="1"/>
  <c r="D166" i="1"/>
  <c r="D49" i="1"/>
  <c r="E49" i="1" s="1"/>
  <c r="E129" i="1"/>
  <c r="F150" i="1"/>
  <c r="E23" i="1" s="1"/>
  <c r="E65" i="1"/>
  <c r="F178" i="1"/>
  <c r="F180" i="1" s="1"/>
  <c r="D186" i="1"/>
  <c r="F139" i="1"/>
  <c r="E21" i="1" s="1"/>
  <c r="D84" i="1"/>
  <c r="E84" i="1" s="1"/>
  <c r="D114" i="1"/>
  <c r="E114" i="1" s="1"/>
  <c r="D116" i="1" s="1"/>
  <c r="E116" i="1" s="1"/>
  <c r="C12" i="7"/>
  <c r="C14" i="7"/>
  <c r="C19" i="7" s="1"/>
  <c r="C21" i="7" s="1"/>
  <c r="F145" i="1"/>
  <c r="E22" i="1" s="1"/>
  <c r="D50" i="1"/>
  <c r="E50" i="1" s="1"/>
  <c r="E52" i="1" s="1"/>
  <c r="D101" i="1"/>
  <c r="E101" i="1" s="1"/>
  <c r="E102" i="1" s="1"/>
  <c r="D128" i="1"/>
  <c r="E128" i="1" s="1"/>
  <c r="F132" i="1" s="1"/>
  <c r="E20" i="1" s="1"/>
  <c r="C166" i="1"/>
  <c r="C27" i="2"/>
  <c r="G28" i="3"/>
  <c r="E37" i="3"/>
  <c r="D37" i="3" s="1"/>
  <c r="D38" i="3" s="1"/>
  <c r="C38" i="3" s="1"/>
  <c r="C24" i="2" s="1"/>
  <c r="C39" i="3"/>
  <c r="E166" i="1" l="1"/>
  <c r="F167" i="1" s="1"/>
  <c r="F169" i="1" s="1"/>
  <c r="D69" i="1"/>
  <c r="E69" i="1" s="1"/>
  <c r="D70" i="1" s="1"/>
  <c r="E70" i="1" s="1"/>
  <c r="E71" i="1" s="1"/>
  <c r="D72" i="1" s="1"/>
  <c r="D86" i="1"/>
  <c r="E86" i="1" s="1"/>
  <c r="E87" i="1" s="1"/>
  <c r="D88" i="1" s="1"/>
  <c r="D53" i="1"/>
  <c r="C26" i="2"/>
  <c r="C32" i="2"/>
  <c r="E117" i="1"/>
  <c r="D103" i="1"/>
  <c r="F37" i="3"/>
  <c r="G37" i="3" s="1"/>
  <c r="C37" i="3"/>
  <c r="C25" i="2"/>
  <c r="C16" i="2" s="1"/>
  <c r="C22" i="2" s="1"/>
  <c r="C31" i="2" s="1"/>
  <c r="C33" i="2" s="1"/>
  <c r="K35" i="3"/>
  <c r="E24" i="1"/>
  <c r="D118" i="1" l="1"/>
  <c r="G38" i="3"/>
  <c r="G32" i="3"/>
  <c r="C29" i="2"/>
  <c r="C34" i="2" s="1"/>
  <c r="C103" i="1" l="1"/>
  <c r="E103" i="1" s="1"/>
  <c r="E104" i="1" s="1"/>
  <c r="D105" i="1" s="1"/>
  <c r="E105" i="1" s="1"/>
  <c r="F106" i="1" s="1"/>
  <c r="E18" i="1" s="1"/>
  <c r="C88" i="1"/>
  <c r="E88" i="1" s="1"/>
  <c r="E89" i="1" s="1"/>
  <c r="D90" i="1" s="1"/>
  <c r="E90" i="1" s="1"/>
  <c r="F91" i="1" s="1"/>
  <c r="E17" i="1" s="1"/>
  <c r="E16" i="1"/>
  <c r="C118" i="1"/>
  <c r="E118" i="1" s="1"/>
  <c r="E119" i="1" s="1"/>
  <c r="D120" i="1" s="1"/>
  <c r="E120" i="1" s="1"/>
  <c r="F121" i="1" s="1"/>
  <c r="E19" i="1" s="1"/>
  <c r="C72" i="1"/>
  <c r="E72" i="1" s="1"/>
  <c r="E73" i="1" s="1"/>
  <c r="D74" i="1" s="1"/>
  <c r="E74" i="1" s="1"/>
  <c r="F75" i="1" s="1"/>
  <c r="E15" i="1" s="1"/>
  <c r="C53" i="1"/>
  <c r="E53" i="1" s="1"/>
  <c r="E54" i="1" s="1"/>
  <c r="D55" i="1" s="1"/>
  <c r="E55" i="1" s="1"/>
  <c r="F56" i="1" s="1"/>
  <c r="F152" i="1" s="1"/>
  <c r="E14" i="1" l="1"/>
  <c r="F192" i="1" l="1"/>
  <c r="E13" i="1"/>
  <c r="D197" i="1" l="1"/>
  <c r="E197" i="1" s="1"/>
  <c r="F198" i="1" s="1"/>
  <c r="F200" i="1" s="1"/>
  <c r="E26" i="1" s="1"/>
  <c r="F203" i="1" l="1"/>
  <c r="E27" i="1"/>
  <c r="F21" i="1" l="1"/>
  <c r="F23" i="1"/>
  <c r="F25" i="1"/>
  <c r="F22" i="1"/>
  <c r="F20" i="1"/>
  <c r="F24" i="1"/>
  <c r="F19" i="1"/>
  <c r="F17" i="1"/>
  <c r="F16" i="1"/>
  <c r="F15" i="1"/>
  <c r="F18" i="1"/>
  <c r="F14" i="1"/>
  <c r="F13" i="1"/>
  <c r="F26" i="1"/>
  <c r="F27" i="1" l="1"/>
</calcChain>
</file>

<file path=xl/comments1.xml><?xml version="1.0" encoding="utf-8"?>
<comments xmlns="http://schemas.openxmlformats.org/spreadsheetml/2006/main">
  <authors>
    <author/>
  </authors>
  <commentList>
    <comment ref="A11" authorId="0">
      <text>
        <r>
          <rPr>
            <sz val="10"/>
            <color rgb="FF000000"/>
            <rFont val="Arial"/>
          </rPr>
          <t xml:space="preserve">Qualquer custo previsto no edital e não contemplado nesta planilha modelo deverá ser devidamente incluído
</t>
        </r>
      </text>
    </comment>
    <comment ref="B40" authorId="0">
      <text>
        <r>
          <rPr>
            <sz val="10"/>
            <color rgb="FF000000"/>
            <rFont val="Arial"/>
          </rPr>
          <t xml:space="preserve">Informar o fator de utilização das equipes de coleta.
Por exemplo:
Equipes com utilização integral = 100%
Equipes com utilização parcial = n° horas trabalhadas por semana /44 horas
</t>
        </r>
      </text>
    </comment>
    <comment ref="D46" authorId="0">
      <text>
        <r>
          <rPr>
            <sz val="9"/>
            <color rgb="FF000000"/>
            <rFont val="Arial"/>
          </rPr>
          <t>Informar o Piso da categoria fixado na Convenção Coletiva</t>
        </r>
      </text>
    </comment>
    <comment ref="C47" authorId="0">
      <text>
        <r>
          <rPr>
            <sz val="10"/>
            <color rgb="FF000000"/>
            <rFont val="Arial"/>
          </rPr>
          <t xml:space="preserve">Informar o número de horas extras trabalhadas nos domingos e feriados em horário diurno
</t>
        </r>
      </text>
    </comment>
    <comment ref="C48" authorId="0">
      <text>
        <r>
          <rPr>
            <sz val="9"/>
            <color rgb="FF000000"/>
            <rFont val="Arial"/>
          </rPr>
          <t xml:space="preserve">Informar o número de horas extras trabalhadas em horário diurno de segunda a sábado
</t>
        </r>
      </text>
    </comment>
    <comment ref="A49" authorId="0">
      <text>
        <r>
          <rPr>
            <sz val="10"/>
            <color rgb="FF000000"/>
            <rFont val="Arial"/>
          </rPr>
          <t xml:space="preserve">Cálculo do descanso semanal remunerado incidente sobre as horas extras habitualmente prestadas. Considerada a média de 63 feriados + domingos e 302 dias trabalhados por ano
</t>
        </r>
      </text>
    </comment>
    <comment ref="C53" authorId="0">
      <text>
        <r>
          <rPr>
            <sz val="9"/>
            <color rgb="FF000000"/>
            <rFont val="Arial"/>
          </rPr>
          <t>Preencher a planilha Encargos Sociais e CAGED</t>
        </r>
      </text>
    </comment>
    <comment ref="C55" authorId="0">
      <text>
        <r>
          <rPr>
            <sz val="9"/>
            <color rgb="FF000000"/>
            <rFont val="Arial"/>
          </rPr>
          <t>Informar a quantidade de trabalhadores na função</t>
        </r>
      </text>
    </comment>
    <comment ref="C61" authorId="0">
      <text>
        <r>
          <rPr>
            <sz val="9"/>
            <color rgb="FF000000"/>
            <rFont val="Arial"/>
          </rPr>
          <t>Informar o número de horas noturnas trabalhadas no intervalo das 22:00h as 5:00h</t>
        </r>
      </text>
    </comment>
    <comment ref="C63" authorId="0">
      <text>
        <r>
          <rPr>
            <sz val="9"/>
            <color rgb="FF000000"/>
            <rFont val="Arial"/>
          </rPr>
          <t>Informar o número de horas extras trabalhadas em horário diurno nos domingos e feriados</t>
        </r>
      </text>
    </comment>
    <comment ref="C64" authorId="0">
      <text>
        <r>
          <rPr>
            <sz val="9"/>
            <color rgb="FF000000"/>
            <rFont val="Arial"/>
          </rPr>
          <t xml:space="preserve">Informar o número de horas extras trabalhadas em horário noturno (das 22:00h as 5h) nos domingos e feriados
</t>
        </r>
      </text>
    </comment>
    <comment ref="C66" authorId="0">
      <text>
        <r>
          <rPr>
            <sz val="9"/>
            <color rgb="FF000000"/>
            <rFont val="Arial"/>
          </rPr>
          <t>Informar o número de horas extras trabalhadas em horário noturno de segunda à sábado</t>
        </r>
      </text>
    </comment>
    <comment ref="C67" authorId="0">
      <text>
        <r>
          <rPr>
            <sz val="9"/>
            <color rgb="FF000000"/>
            <rFont val="Arial"/>
          </rPr>
          <t>Informar o número de horas extras trabalhadas em horário noturno (das 22:00h as 5h) de segunda a sábado</t>
        </r>
      </text>
    </comment>
    <comment ref="A69" authorId="0">
      <text>
        <r>
          <rPr>
            <sz val="10"/>
            <color rgb="FF000000"/>
            <rFont val="Arial"/>
          </rPr>
          <t xml:space="preserve">Cálculo do descanso semanal remunerado incidente sobre as horas extras habitualmente prestadas. Considerados 63 feriados + domingos e 302 dias trabalhados por ano
</t>
        </r>
      </text>
    </comment>
    <comment ref="C72" authorId="0">
      <text>
        <r>
          <rPr>
            <sz val="9"/>
            <color rgb="FF000000"/>
            <rFont val="Arial"/>
          </rPr>
          <t>Preencher a planilha Encargos Sociais e CAGED</t>
        </r>
      </text>
    </comment>
    <comment ref="C74" authorId="0">
      <text>
        <r>
          <rPr>
            <sz val="9"/>
            <color rgb="FF000000"/>
            <rFont val="Arial"/>
          </rPr>
          <t>Informar a quantidade de trabalhadores na função</t>
        </r>
      </text>
    </comment>
    <comment ref="D80" authorId="0">
      <text>
        <r>
          <rPr>
            <sz val="9"/>
            <color rgb="FF000000"/>
            <rFont val="Arial"/>
          </rPr>
          <t>Informar o Piso da categoria fixado na Convenção Coletiva</t>
        </r>
      </text>
    </comment>
    <comment ref="D81" authorId="0">
      <text>
        <r>
          <rPr>
            <sz val="9"/>
            <color rgb="FF000000"/>
            <rFont val="Arial"/>
          </rPr>
          <t>Informar o valor do salário Mínimo Nacional</t>
        </r>
      </text>
    </comment>
    <comment ref="C82" authorId="0">
      <text>
        <r>
          <rPr>
            <sz val="9"/>
            <color rgb="FF000000"/>
            <rFont val="Arial"/>
          </rPr>
          <t>Informar o número de horas extras trabalhadas em horário diurno nos domingos e feriados</t>
        </r>
      </text>
    </comment>
    <comment ref="C83" authorId="0">
      <text>
        <r>
          <rPr>
            <sz val="9"/>
            <color rgb="FF000000"/>
            <rFont val="Arial"/>
          </rPr>
          <t xml:space="preserve">Informar o número de horas extras trabalhadas em horário diurno de segunda a sábado
</t>
        </r>
      </text>
    </comment>
    <comment ref="A84" authorId="0">
      <text>
        <r>
          <rPr>
            <sz val="10"/>
            <color rgb="FF000000"/>
            <rFont val="Arial"/>
          </rPr>
          <t xml:space="preserve">Cálculo do descanso semanal remunerado incidente sobre as horas extras habitualmente prestadas. Considerada a média de 63 feriados + domingos e 302 dias trabalhados por ano
</t>
        </r>
      </text>
    </comment>
    <comment ref="C85" authorId="0">
      <text>
        <r>
          <rPr>
            <sz val="9"/>
            <color rgb="FF000000"/>
            <rFont val="Arial"/>
          </rPr>
          <t xml:space="preserve">Informar 1 se a base de cálculo for o Salário Mínimo Nacional; Informar 2 se a base de cálculo for o Piso da Categoria;
</t>
        </r>
      </text>
    </comment>
    <comment ref="C86" authorId="0">
      <text>
        <r>
          <rPr>
            <sz val="9"/>
            <color rgb="FF000000"/>
            <rFont val="Arial"/>
          </rPr>
          <t>Percentual estabelecido nas Normas de Segurança de Trabalho ou pelo laudo de responsável técnico devidamente habilitado</t>
        </r>
      </text>
    </comment>
    <comment ref="C88" authorId="0">
      <text>
        <r>
          <rPr>
            <sz val="9"/>
            <color rgb="FF000000"/>
            <rFont val="Arial"/>
          </rPr>
          <t>Preencher a planilha Encargos Sociais e CAGED</t>
        </r>
      </text>
    </comment>
    <comment ref="C90" authorId="0">
      <text>
        <r>
          <rPr>
            <sz val="9"/>
            <color rgb="FF000000"/>
            <rFont val="Arial"/>
          </rPr>
          <t>Informar a quantidade de trabalhadores na função</t>
        </r>
      </text>
    </comment>
    <comment ref="D95" authorId="0">
      <text>
        <r>
          <rPr>
            <sz val="9"/>
            <color rgb="FF000000"/>
            <rFont val="Arial"/>
          </rPr>
          <t>Informar o Piso da categoria fixado na Convenção Coletiva</t>
        </r>
      </text>
    </comment>
    <comment ref="D96" authorId="0">
      <text>
        <r>
          <rPr>
            <sz val="9"/>
            <color rgb="FF000000"/>
            <rFont val="Arial"/>
          </rPr>
          <t>Informar o valor do salário Mínimo Nacional</t>
        </r>
      </text>
    </comment>
    <comment ref="C97" authorId="0">
      <text>
        <r>
          <rPr>
            <sz val="9"/>
            <color rgb="FF000000"/>
            <rFont val="Arial"/>
          </rPr>
          <t>Informar o número de horas extras trabalhadas em horário diurno nos domingos e feriados</t>
        </r>
      </text>
    </comment>
    <comment ref="C98" authorId="0">
      <text>
        <r>
          <rPr>
            <sz val="9"/>
            <color rgb="FF000000"/>
            <rFont val="Arial"/>
          </rPr>
          <t xml:space="preserve">Informar o número de horas extras trabalhadas em horário diurno de segunda a sábado
</t>
        </r>
      </text>
    </comment>
    <comment ref="A99" authorId="0">
      <text>
        <r>
          <rPr>
            <sz val="10"/>
            <color rgb="FF000000"/>
            <rFont val="Arial"/>
          </rPr>
          <t xml:space="preserve">Cálculo do descanso semanal remunerado incidente sobre as horas extras habitualmente prestadas. Considerada a média de 63 feriados + domingos e 302 dias trabalhados por ano
</t>
        </r>
      </text>
    </comment>
    <comment ref="C100" authorId="0">
      <text>
        <r>
          <rPr>
            <sz val="9"/>
            <color rgb="FF000000"/>
            <rFont val="Arial"/>
          </rPr>
          <t xml:space="preserve">Informar 1 se a base de cálculo for o Salário Mínimo Nacional; Informar 2 se a base de cálculo for o Piso da Categoria;
</t>
        </r>
      </text>
    </comment>
    <comment ref="C101" authorId="0">
      <text>
        <r>
          <rPr>
            <sz val="9"/>
            <color rgb="FF000000"/>
            <rFont val="Arial"/>
          </rPr>
          <t>Percentual estabelecido nas Normas de Segurança de Trabalho ou pelo laudo de responsável técnico devidamente habilitado</t>
        </r>
      </text>
    </comment>
    <comment ref="C103" authorId="0">
      <text>
        <r>
          <rPr>
            <sz val="9"/>
            <color rgb="FF000000"/>
            <rFont val="Arial"/>
          </rPr>
          <t>Preencher a planilha Encargos Sociais e CAGED</t>
        </r>
      </text>
    </comment>
    <comment ref="C105" authorId="0">
      <text>
        <r>
          <rPr>
            <sz val="9"/>
            <color rgb="FF000000"/>
            <rFont val="Arial"/>
          </rPr>
          <t>Informar a quantidade de trabalhadores na função</t>
        </r>
      </text>
    </comment>
    <comment ref="D110" authorId="0">
      <text>
        <r>
          <rPr>
            <sz val="9"/>
            <color rgb="FF000000"/>
            <rFont val="Arial"/>
          </rPr>
          <t>Informar o Piso da categoria fixado na Convenção Coletiva</t>
        </r>
      </text>
    </comment>
    <comment ref="D111" authorId="0">
      <text>
        <r>
          <rPr>
            <sz val="9"/>
            <color rgb="FF000000"/>
            <rFont val="Arial"/>
          </rPr>
          <t>Informar o valor do salário Mínimo Nacional</t>
        </r>
      </text>
    </comment>
    <comment ref="C112" authorId="0">
      <text>
        <r>
          <rPr>
            <sz val="9"/>
            <color rgb="FF000000"/>
            <rFont val="Arial"/>
          </rPr>
          <t>Informar o número de horas extras trabalhadas em horário diurno nos domingos e feriados</t>
        </r>
      </text>
    </comment>
    <comment ref="C113" authorId="0">
      <text>
        <r>
          <rPr>
            <sz val="9"/>
            <color rgb="FF000000"/>
            <rFont val="Arial"/>
          </rPr>
          <t xml:space="preserve">Informar o número de horas extras trabalhadas em horário diurno de segunda a sábado
</t>
        </r>
      </text>
    </comment>
    <comment ref="A114" authorId="0">
      <text>
        <r>
          <rPr>
            <sz val="10"/>
            <color rgb="FF000000"/>
            <rFont val="Arial"/>
          </rPr>
          <t xml:space="preserve">Cálculo do descanso semanal remunerado incidente sobre as horas extras habitualmente prestadas. Considerada a média de 63 feriados + domingos e 302 dias trabalhados por ano
</t>
        </r>
      </text>
    </comment>
    <comment ref="C115" authorId="0">
      <text>
        <r>
          <rPr>
            <sz val="9"/>
            <color rgb="FF000000"/>
            <rFont val="Arial"/>
          </rPr>
          <t xml:space="preserve">Informar 1 se a base de cálculo for o Salário Mínimo Nacional; Informar 2 se a base de cálculo for o Piso da Categoria;
</t>
        </r>
      </text>
    </comment>
    <comment ref="C116" authorId="0">
      <text>
        <r>
          <rPr>
            <sz val="9"/>
            <color rgb="FF000000"/>
            <rFont val="Arial"/>
          </rPr>
          <t>Percentual estabelecido nas Normas de Segurança de Trabalho ou pelo laudo de responsável técnico devidamente habilitado</t>
        </r>
      </text>
    </comment>
    <comment ref="C118" authorId="0">
      <text>
        <r>
          <rPr>
            <sz val="9"/>
            <color rgb="FF000000"/>
            <rFont val="Arial"/>
          </rPr>
          <t>Preencher a planilha Encargos Sociais e CAGED</t>
        </r>
      </text>
    </comment>
    <comment ref="C120" authorId="0">
      <text>
        <r>
          <rPr>
            <sz val="9"/>
            <color rgb="FF000000"/>
            <rFont val="Arial"/>
          </rPr>
          <t>Informar a quantidade de trabalhadores na função</t>
        </r>
      </text>
    </comment>
    <comment ref="D126" authorId="0">
      <text>
        <r>
          <rPr>
            <sz val="9"/>
            <color rgb="FF000000"/>
            <rFont val="Arial"/>
          </rPr>
          <t>Informar o valor unitário do VT no município</t>
        </r>
      </text>
    </comment>
    <comment ref="C127" authorId="0">
      <text>
        <r>
          <rPr>
            <sz val="9"/>
            <color rgb="FF000000"/>
            <rFont val="Arial"/>
          </rPr>
          <t>Informar o número médio de dias trabalhados por mês</t>
        </r>
      </text>
    </comment>
    <comment ref="D128" authorId="0">
      <text>
        <r>
          <rPr>
            <sz val="9"/>
            <color rgb="FF000000"/>
            <rFont val="Arial"/>
          </rPr>
          <t>Valor Unitário considerando o desconto legal de até 6% do salário</t>
        </r>
      </text>
    </comment>
    <comment ref="D129" authorId="0">
      <text>
        <r>
          <rPr>
            <sz val="9"/>
            <color rgb="FF000000"/>
            <rFont val="Arial"/>
          </rPr>
          <t xml:space="preserve">Valor Unitário considerando o desconto legal de até 6% do salário
</t>
        </r>
      </text>
    </comment>
    <comment ref="D136" authorId="0">
      <text>
        <r>
          <rPr>
            <sz val="9"/>
            <color rgb="FF000000"/>
            <rFont val="Arial"/>
          </rPr>
          <t>Informar o valor unitário diário do vale refeição conforme Convenção Coletiva da categoria</t>
        </r>
      </text>
    </comment>
    <comment ref="D143" authorId="0">
      <text>
        <r>
          <rPr>
            <sz val="9"/>
            <color rgb="FF000000"/>
            <rFont val="Arial"/>
          </rPr>
          <t>Informar o valor mensal do auxilio alimentação conforme Convenção Coletiva da categoria</t>
        </r>
      </text>
    </comment>
    <comment ref="D144" authorId="0">
      <text>
        <r>
          <rPr>
            <sz val="9"/>
            <color rgb="FF000000"/>
            <rFont val="Arial"/>
          </rPr>
          <t>Informar o valor mensal do auxilio alimentação conforme Convenção Coletiva da categoria</t>
        </r>
      </text>
    </comment>
    <comment ref="C159" authorId="0">
      <text>
        <r>
          <rPr>
            <sz val="9"/>
            <color rgb="FF000000"/>
            <rFont val="Arial"/>
          </rPr>
          <t xml:space="preserve">Informar a durabilidade estimada em meses, para cada EPI
</t>
        </r>
      </text>
    </comment>
    <comment ref="D159" authorId="0">
      <text>
        <r>
          <rPr>
            <sz val="9"/>
            <color rgb="FF000000"/>
            <rFont val="Arial"/>
          </rPr>
          <t>Informar o valor unitário estimado para aquisição de cada EPI</t>
        </r>
      </text>
    </comment>
    <comment ref="C160" authorId="0">
      <text>
        <r>
          <rPr>
            <sz val="9"/>
            <color rgb="FF000000"/>
            <rFont val="Arial"/>
          </rPr>
          <t xml:space="preserve">Informar a durabilidade estimada em meses, para cada EPI
</t>
        </r>
      </text>
    </comment>
    <comment ref="D160" authorId="0">
      <text>
        <r>
          <rPr>
            <sz val="9"/>
            <color rgb="FF000000"/>
            <rFont val="Arial"/>
          </rPr>
          <t>Informar o valor unitário estimado para aquisição de cada EPI</t>
        </r>
      </text>
    </comment>
    <comment ref="C161" authorId="0">
      <text>
        <r>
          <rPr>
            <sz val="9"/>
            <color rgb="FF000000"/>
            <rFont val="Arial"/>
          </rPr>
          <t xml:space="preserve">Informar a durabilidade estimada em meses, para cada EPI
</t>
        </r>
      </text>
    </comment>
    <comment ref="D161" authorId="0">
      <text>
        <r>
          <rPr>
            <sz val="9"/>
            <color rgb="FF000000"/>
            <rFont val="Arial"/>
          </rPr>
          <t>Informar o valor unitário estimado para aquisição de cada EPI</t>
        </r>
      </text>
    </comment>
    <comment ref="C162" authorId="0">
      <text>
        <r>
          <rPr>
            <sz val="9"/>
            <color rgb="FF000000"/>
            <rFont val="Arial"/>
          </rPr>
          <t xml:space="preserve">Informar a durabilidade estimada em meses, para cada EPI
</t>
        </r>
      </text>
    </comment>
    <comment ref="D162" authorId="0">
      <text>
        <r>
          <rPr>
            <sz val="9"/>
            <color rgb="FF000000"/>
            <rFont val="Arial"/>
          </rPr>
          <t>Informar o valor unitário estimado para aquisição de cada EPI</t>
        </r>
      </text>
    </comment>
    <comment ref="C163" authorId="0">
      <text>
        <r>
          <rPr>
            <sz val="9"/>
            <color rgb="FF000000"/>
            <rFont val="Arial"/>
          </rPr>
          <t xml:space="preserve">Informar a durabilidade estimada em meses, para cada EPI
</t>
        </r>
      </text>
    </comment>
    <comment ref="D163" authorId="0">
      <text>
        <r>
          <rPr>
            <sz val="9"/>
            <color rgb="FF000000"/>
            <rFont val="Arial"/>
          </rPr>
          <t>Informar o valor unitário estimado para aquisição de cada EPI</t>
        </r>
      </text>
    </comment>
    <comment ref="C164" authorId="0">
      <text>
        <r>
          <rPr>
            <sz val="9"/>
            <color rgb="FF000000"/>
            <rFont val="Arial"/>
          </rPr>
          <t xml:space="preserve">Informar a durabilidade estimada em meses, para cada EPI
</t>
        </r>
      </text>
    </comment>
    <comment ref="D164" authorId="0">
      <text>
        <r>
          <rPr>
            <sz val="9"/>
            <color rgb="FF000000"/>
            <rFont val="Arial"/>
          </rPr>
          <t>Informar o valor unitário estimado para aquisição de cada EPI</t>
        </r>
      </text>
    </comment>
    <comment ref="D165" authorId="0">
      <text>
        <r>
          <rPr>
            <sz val="9"/>
            <color rgb="FF000000"/>
            <rFont val="Arial"/>
          </rPr>
          <t>Informar o valor mensal de higienização de uniforme para 1 funcionário</t>
        </r>
      </text>
    </comment>
    <comment ref="A172" authorId="0">
      <text>
        <r>
          <rPr>
            <sz val="10"/>
            <color rgb="FF000000"/>
            <rFont val="Arial"/>
          </rPr>
          <t xml:space="preserve">Especificar somente quando for exigido no Projeto Básico
</t>
        </r>
      </text>
    </comment>
    <comment ref="D175" authorId="0">
      <text>
        <r>
          <rPr>
            <sz val="9"/>
            <color rgb="FF000000"/>
            <rFont val="Arial"/>
          </rPr>
          <t>Informar o valor total para instalação do equipamento de monitoramento da frota, se houver</t>
        </r>
      </text>
    </comment>
    <comment ref="A182" authorId="0">
      <text>
        <r>
          <rPr>
            <sz val="10"/>
            <color rgb="FF000000"/>
            <rFont val="Arial"/>
          </rPr>
          <t xml:space="preserve">Especificar somente quando for exigido no Projeto Básico
</t>
        </r>
      </text>
    </comment>
    <comment ref="D185" authorId="0">
      <text>
        <r>
          <rPr>
            <sz val="9"/>
            <color rgb="FF000000"/>
            <rFont val="Arial"/>
          </rPr>
          <t>Informar o valor total para instalação do equipamento de monitoramento da frota, se houver</t>
        </r>
      </text>
    </comment>
    <comment ref="C197" authorId="0">
      <text>
        <r>
          <rPr>
            <sz val="9"/>
            <color rgb="FF000000"/>
            <rFont val="Arial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G37" authorId="0">
      <text>
        <r>
          <rPr>
            <sz val="10"/>
            <color rgb="FF000000"/>
            <rFont val="Arial"/>
          </rPr>
          <t xml:space="preserve">Jorge Mesquita:
</t>
        </r>
        <r>
          <rPr>
            <sz val="9"/>
            <color rgb="FF000000"/>
            <rFont val="Arial"/>
          </rPr>
          <t xml:space="preserve">Criar um tipo de arredondamento.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C10" authorId="0">
      <text>
        <r>
          <rPr>
            <sz val="10"/>
            <color rgb="FF000000"/>
            <rFont val="Arial"/>
          </rPr>
          <t xml:space="preserve">Informar o % de Administração Central estimado
</t>
        </r>
      </text>
    </comment>
    <comment ref="C11" authorId="0">
      <text>
        <r>
          <rPr>
            <sz val="10"/>
            <color rgb="FF000000"/>
            <rFont val="Arial"/>
          </rPr>
          <t xml:space="preserve">Informar o % de Seguros, Riscos e Garantia estimado
</t>
        </r>
      </text>
    </comment>
    <comment ref="C12" authorId="0">
      <text>
        <r>
          <rPr>
            <sz val="10"/>
            <color rgb="FF000000"/>
            <rFont val="Arial"/>
          </rPr>
          <t xml:space="preserve">Informar o % de Lucro estimado
</t>
        </r>
      </text>
    </comment>
    <comment ref="E13" authorId="0">
      <text>
        <r>
          <rPr>
            <b/>
            <sz val="9"/>
            <color rgb="FF000000"/>
            <rFont val="Arial"/>
          </rPr>
          <t>Informar o valor anual da taxa financeira, em percentual. Admite-se utilizar a SELIC</t>
        </r>
      </text>
    </comment>
    <comment ref="C14" authorId="0">
      <text>
        <r>
          <rPr>
            <sz val="10"/>
            <color rgb="FF000000"/>
            <rFont val="Arial"/>
          </rPr>
          <t xml:space="preserve">Informar o percentual de ISS, de acordo com a legislação tributária do município onde serão prestados os serviços. De 2% até o limite de 5%.
</t>
        </r>
      </text>
    </comment>
    <comment ref="E14" authorId="0">
      <text>
        <r>
          <rPr>
            <sz val="10"/>
            <color rgb="FF000000"/>
            <rFont val="Arial"/>
          </rPr>
          <t xml:space="preserve">Informar a média de dias úteis entre data de pagamento prevista no contrato e a data final do período de adimplemento da parcela
</t>
        </r>
      </text>
    </comment>
    <comment ref="C15" authorId="0">
      <text>
        <r>
          <rPr>
            <sz val="10"/>
            <color rgb="FF000000"/>
            <rFont val="Arial"/>
          </rPr>
          <t xml:space="preserve">Informar o valor estimado de PIS/COFINS.
</t>
        </r>
        <r>
          <rPr>
            <sz val="9"/>
            <color rgb="FF000000"/>
            <rFont val="Arial"/>
          </rPr>
          <t>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C9" authorId="0">
      <text>
        <r>
          <rPr>
            <sz val="8"/>
            <color rgb="FF000000"/>
            <rFont val="Arial"/>
          </rPr>
          <t>Informar a população do município a ser atendida</t>
        </r>
      </text>
    </comment>
    <comment ref="C10" authorId="0">
      <text>
        <r>
          <rPr>
            <b/>
            <sz val="9"/>
            <color rgb="FF000000"/>
            <rFont val="Arial"/>
          </rPr>
          <t>Caso o município possua informações de pesagem, ajustar com o valor da geração média per capita realizada nos últimos 12 meses</t>
        </r>
      </text>
    </comment>
    <comment ref="C11" authorId="0">
      <text>
        <r>
          <rPr>
            <sz val="9"/>
            <color rgb="FF000000"/>
            <rFont val="Arial"/>
          </rPr>
          <t>retorna a geração diária a ser recolhida</t>
        </r>
      </text>
    </comment>
    <comment ref="C13" authorId="0">
      <text>
        <r>
          <rPr>
            <b/>
            <sz val="8"/>
            <color rgb="FF000000"/>
            <rFont val="Arial"/>
          </rPr>
          <t>Informe o número de dias de coleta por semana</t>
        </r>
      </text>
    </comment>
    <comment ref="C16" authorId="0">
      <text>
        <r>
          <rPr>
            <sz val="10"/>
            <color rgb="FF000000"/>
            <rFont val="Arial"/>
          </rPr>
          <t>Informar 1 para caminhão toco; Informar 2 para caminhão truck</t>
        </r>
      </text>
    </comment>
    <comment ref="C17" authorId="0">
      <text>
        <r>
          <rPr>
            <sz val="8"/>
            <color rgb="FF000000"/>
            <rFont val="Arial"/>
          </rPr>
          <t>Informar a capacidade do compactador em m³</t>
        </r>
      </text>
    </comment>
    <comment ref="C20" authorId="0">
      <text>
        <r>
          <rPr>
            <sz val="8"/>
            <color rgb="FF000000"/>
            <rFont val="Arial"/>
          </rPr>
          <t>Informar o número de percursos de coleta (cargas) que cada caminhão realiza por dia, considerando todos os turnos de trabalho.</t>
        </r>
      </text>
    </comment>
  </commentList>
</comments>
</file>

<file path=xl/sharedStrings.xml><?xml version="1.0" encoding="utf-8"?>
<sst xmlns="http://schemas.openxmlformats.org/spreadsheetml/2006/main" count="447" uniqueCount="255">
  <si>
    <t>Orientações para preenchimento:</t>
  </si>
  <si>
    <t>1. Esta planilha é somente um modelo-base. Qualquer custo previsto no edital e não contemplado nesta planilha deverá ser devidamente incluído</t>
  </si>
  <si>
    <t>2. Preencher somente células em amarelo</t>
  </si>
  <si>
    <t>3. As células azuis deverão ter seus valores preenchidos em outra planilha do arquivo.</t>
  </si>
  <si>
    <t>Lote 1.Serviços de zeladoria</t>
  </si>
  <si>
    <t>CBO - 5141</t>
  </si>
  <si>
    <t>Orçamento Sintético</t>
  </si>
  <si>
    <t>Descrição do Item</t>
  </si>
  <si>
    <t>Custo (R$/mês)</t>
  </si>
  <si>
    <t>%</t>
  </si>
  <si>
    <t>1.5. Vale-transporte (diário)</t>
  </si>
  <si>
    <t>PREÇO TOTAL MENSAL COM A ZELADORIA</t>
  </si>
  <si>
    <t>Quantitativos</t>
  </si>
  <si>
    <t>Mão-de-obra</t>
  </si>
  <si>
    <t>Quantidade</t>
  </si>
  <si>
    <t>Total de mão-de-obra (postos de trabalho)</t>
  </si>
  <si>
    <t>Fator de utilização (FU)</t>
  </si>
  <si>
    <t>1. Mão-de-obra</t>
  </si>
  <si>
    <t>1.1. zeladoria</t>
  </si>
  <si>
    <t>Discriminação</t>
  </si>
  <si>
    <t>Unidade</t>
  </si>
  <si>
    <t>Custo unitário</t>
  </si>
  <si>
    <t>Subtotal</t>
  </si>
  <si>
    <t>Piso da categoria</t>
  </si>
  <si>
    <t>mês</t>
  </si>
  <si>
    <t>Horas Extras (100%)</t>
  </si>
  <si>
    <t>hora</t>
  </si>
  <si>
    <t>Excluir esta linha caso a contratação não tenha previsão de horas extras 100% explícita no edital</t>
  </si>
  <si>
    <t>Horas Extras (50%)</t>
  </si>
  <si>
    <t>Excluir esta linha caso a contratação não tenha previsão de horas extras 50% explícita no edital</t>
  </si>
  <si>
    <t>Descanso Semanal Remunerado (DSR) - hora extra</t>
  </si>
  <si>
    <t>R$</t>
  </si>
  <si>
    <t>Excluir esta linha caso a contratação não tenha previsão de horas extras explícita no edital</t>
  </si>
  <si>
    <t>Adicional de Insalubridade</t>
  </si>
  <si>
    <t>Plano Benefício Social</t>
  </si>
  <si>
    <t>homem</t>
  </si>
  <si>
    <t>Soma</t>
  </si>
  <si>
    <t>Encargos Sociais</t>
  </si>
  <si>
    <t>Total por zelador</t>
  </si>
  <si>
    <t>Total do Efetivo</t>
  </si>
  <si>
    <t>Fator de utilização</t>
  </si>
  <si>
    <t>1.2. Reciclador</t>
  </si>
  <si>
    <t>Adicional Noturno</t>
  </si>
  <si>
    <t>horas trabalhadas</t>
  </si>
  <si>
    <t>hora contabilizada</t>
  </si>
  <si>
    <t>Horas Extras Noturnas (100%)</t>
  </si>
  <si>
    <t>Excluir esta linha caso a contratação não tenha previsão de horas extras noturnas 100% explícita no edital</t>
  </si>
  <si>
    <t>Horas Extras Noturnas (50%)</t>
  </si>
  <si>
    <t>Excluir esta linha caso a contratação não tenha previsão de horas extras noturnas 50% explícita no edital</t>
  </si>
  <si>
    <t>Total por Coletor</t>
  </si>
  <si>
    <t>Base de cálculo da Insalubridade</t>
  </si>
  <si>
    <t>Total por Motorista</t>
  </si>
  <si>
    <t>Piso da categoria (1)</t>
  </si>
  <si>
    <t>Salário mínimo nacional (2)</t>
  </si>
  <si>
    <t>1.4. Motorista Carreta</t>
  </si>
  <si>
    <t>1.7. Responsavel Tecnico</t>
  </si>
  <si>
    <t>1.8. Tecnico de Segurança do Trabalho</t>
  </si>
  <si>
    <t>1.6. Vale Transporte</t>
  </si>
  <si>
    <t>Vale Transporte</t>
  </si>
  <si>
    <t>Dias Trabalhados por mês</t>
  </si>
  <si>
    <t>dia</t>
  </si>
  <si>
    <t>Coletor</t>
  </si>
  <si>
    <t>vale</t>
  </si>
  <si>
    <t>Motorista</t>
  </si>
  <si>
    <t>Motorista Carreta</t>
  </si>
  <si>
    <t>Tecnico de Segurança do Trabalho</t>
  </si>
  <si>
    <t>1.4. Vale-refeição (diário)</t>
  </si>
  <si>
    <t>unidade</t>
  </si>
  <si>
    <t>Reciclador</t>
  </si>
  <si>
    <t>Motorista de Carreta</t>
  </si>
  <si>
    <t>1.11. Auxílio Alimentação (mensal)</t>
  </si>
  <si>
    <t>Total (R$)</t>
  </si>
  <si>
    <t>1.1. zelador</t>
  </si>
  <si>
    <t>Custo Mensal com Mão-de-obra (R$/mês)</t>
  </si>
  <si>
    <t>2. Uniformes e Equipamentos de Proteção Individual</t>
  </si>
  <si>
    <t>Durabilidade (meses)</t>
  </si>
  <si>
    <t>Jaqueta com reflexivo (NBR 15.292)</t>
  </si>
  <si>
    <t>Calça</t>
  </si>
  <si>
    <t>Boné</t>
  </si>
  <si>
    <t>Botina preta</t>
  </si>
  <si>
    <t>par</t>
  </si>
  <si>
    <t>Colete reflexivo</t>
  </si>
  <si>
    <t>Higienização de uniformes e EPIs</t>
  </si>
  <si>
    <t>R$ mensal</t>
  </si>
  <si>
    <t>Custo Mensal com Uniformes e EPIs (R$/mês)</t>
  </si>
  <si>
    <t>6. Administração Local</t>
  </si>
  <si>
    <t>Aluguel de Patio</t>
  </si>
  <si>
    <t>Comunicação Movel</t>
  </si>
  <si>
    <t>Custo mensal com administração local</t>
  </si>
  <si>
    <t>Custo Mensal com Administração Local (R$/mês)</t>
  </si>
  <si>
    <t>6. Destinação Final</t>
  </si>
  <si>
    <t>Destinação final dos residuos</t>
  </si>
  <si>
    <t>ton</t>
  </si>
  <si>
    <t>Custo mensal com destinação final</t>
  </si>
  <si>
    <t>Custo Mensal com Destinação Final (R$/mês)</t>
  </si>
  <si>
    <t>CUSTO TOTAL MENSAL COM DESPESAS OPERACIONAIS (R$/mês)</t>
  </si>
  <si>
    <t>6. Benefícios e Despesas Indiretas - BDI</t>
  </si>
  <si>
    <t>Benefícios e despesas indiretas</t>
  </si>
  <si>
    <t>CUSTO MENSAL COM BDI (R$/mês)</t>
  </si>
  <si>
    <t>PREÇO MENSAL TOTAL (R$/mês)</t>
  </si>
  <si>
    <t>,</t>
  </si>
  <si>
    <t>1. Preencha previamente os dados de entrada na planilha 3.CAGED</t>
  </si>
  <si>
    <t>2. Composição dos Encargos Sociais</t>
  </si>
  <si>
    <t>Código</t>
  </si>
  <si>
    <t>Descrição</t>
  </si>
  <si>
    <t>Valor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</si>
  <si>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</si>
  <si>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</si>
  <si>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</si>
  <si>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</si>
  <si>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</si>
  <si>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</si>
  <si>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</si>
  <si>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</si>
  <si>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</si>
  <si>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</si>
  <si>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</si>
  <si>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</si>
  <si>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</si>
  <si>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</si>
  <si>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</si>
  <si>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</si>
  <si>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</t>
  </si>
  <si>
    <t>SOMA GRUPO A</t>
  </si>
  <si>
    <t>B1</t>
  </si>
  <si>
    <t>Férias gozadas</t>
  </si>
  <si>
    <t>B2</t>
  </si>
  <si>
    <t>13º salário</t>
  </si>
  <si>
    <t>B3</t>
  </si>
  <si>
    <t>Licença Paternidade</t>
  </si>
  <si>
    <t>B4</t>
  </si>
  <si>
    <t>Faltas justificadas</t>
  </si>
  <si>
    <t>B5</t>
  </si>
  <si>
    <t>Auxilio acidente de trabalho</t>
  </si>
  <si>
    <t>B6</t>
  </si>
  <si>
    <t>Auxilio doença</t>
  </si>
  <si>
    <t>B</t>
  </si>
  <si>
    <t>SOMA GRUPO B</t>
  </si>
  <si>
    <t>C1</t>
  </si>
  <si>
    <t>Aviso prévio indenizado</t>
  </si>
  <si>
    <t>C2</t>
  </si>
  <si>
    <t>Férias indenizadas</t>
  </si>
  <si>
    <t>C3</t>
  </si>
  <si>
    <t>Férias indenizadas s/ aviso previo inden.</t>
  </si>
  <si>
    <t>C4</t>
  </si>
  <si>
    <t>Depósito rescisão sem justa causa</t>
  </si>
  <si>
    <t>C5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</si>
  <si>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</si>
  <si>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</si>
  <si>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</si>
  <si>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</si>
  <si>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</si>
  <si>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</si>
  <si>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</si>
  <si>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</si>
  <si>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</si>
  <si>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</si>
  <si>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CÁLCULO DAS VERBAS INDENIZATÓRIAS DOS EMPREGADOS NO SETOR DE COLETA DE RSU</t>
  </si>
  <si>
    <t>Para preencher esta planilha siga os passos 1 a 5:</t>
  </si>
  <si>
    <t>1. Acesse o Portal do CAGED no link http://bi.mte.gov.br/cagedestabelecimento/pages/consulta.xhtml</t>
  </si>
  <si>
    <t>2. Na Especificação da Consulta, selecione "Demonstrativo por período" e informe as competências relativas ao período Inicial e Final (últimos 12 meses)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</si>
  <si>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</si>
  <si>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</si>
  <si>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</si>
  <si>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6. Preencha as células em amarelo</t>
  </si>
  <si>
    <t>3. CAGED</t>
  </si>
  <si>
    <t>Rio Grande do Sul  - Coleta de Resíduos Não-Perigosos - CNAE 38114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</si>
  <si>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</si>
  <si>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</si>
  <si>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</si>
  <si>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</si>
  <si>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</si>
  <si>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</si>
  <si>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</si>
  <si>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</si>
  <si>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</si>
  <si>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</si>
  <si>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</si>
  <si>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</si>
  <si>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</si>
  <si>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</si>
  <si>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</si>
  <si>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1/3 de férias (dias)</t>
  </si>
  <si>
    <t>Férias (dias)</t>
  </si>
  <si>
    <t>13º Salário (dias)</t>
  </si>
  <si>
    <t>Estoque Médio</t>
  </si>
  <si>
    <t>Multa FGTS</t>
  </si>
  <si>
    <t>Fração de tempo para gozo férias</t>
  </si>
  <si>
    <t>Dias de Aviso prévio</t>
  </si>
  <si>
    <t>Rotatividade temporal (meses)</t>
  </si>
  <si>
    <t>1. Esta planilha é somente um modelo-base e deve ser ajustada conforme cada caso concreto.</t>
  </si>
  <si>
    <t>4. Composição do BDI - Benefícios e Despesas Indiretas</t>
  </si>
  <si>
    <t>Referência estudo TCE</t>
  </si>
  <si>
    <t>1° Quartil</t>
  </si>
  <si>
    <t>Médio</t>
  </si>
  <si>
    <t>3° Quartil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</si>
  <si>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</si>
  <si>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</si>
  <si>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</si>
  <si>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</si>
  <si>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</si>
  <si>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</si>
  <si>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</si>
  <si>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</si>
  <si>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i</t>
  </si>
  <si>
    <t>Tributos - ISS</t>
  </si>
  <si>
    <t>T</t>
  </si>
  <si>
    <t>DU</t>
  </si>
  <si>
    <t>Tributos - PIS/COFINS</t>
  </si>
  <si>
    <t>Fórmula para o cálculo do BDI:</t>
  </si>
  <si>
    <t>{[(1+AC+SRG) x (1+L) x (1+DF)] / (1-T)} -1</t>
  </si>
  <si>
    <t>Resultado do cálculo do BDI:</t>
  </si>
  <si>
    <t>5. Depreciação Referencial TCE/RS (%)</t>
  </si>
  <si>
    <t>Idade do veículo (ano)</t>
  </si>
  <si>
    <t>Depreciação Média</t>
  </si>
  <si>
    <t>6. Remuneração de Capital</t>
  </si>
  <si>
    <t>Fórmula de cálculo da remuneração de capital:</t>
  </si>
  <si>
    <r>
      <rPr>
        <sz val="12"/>
        <color rgb="FF000000"/>
        <rFont val="Arial1"/>
      </rPr>
      <t>J</t>
    </r>
    <r>
      <rPr>
        <vertAlign val="subscript"/>
        <sz val="12"/>
        <color rgb="FF000000"/>
        <rFont val="Arial"/>
      </rPr>
      <t>m</t>
    </r>
    <r>
      <rPr>
        <sz val="12"/>
        <color rgb="FF000000"/>
        <rFont val="Arial"/>
      </rPr>
      <t xml:space="preserve"> = remuneração de capital mensal</t>
    </r>
  </si>
  <si>
    <t>i = taxa de juros do mercado (sugere-se adotar a taxa SELIC)</t>
  </si>
  <si>
    <t>Im = investimento médio</t>
  </si>
  <si>
    <r>
      <rPr>
        <sz val="12"/>
        <color rgb="FF000000"/>
        <rFont val="Arial1"/>
      </rPr>
      <t>V</t>
    </r>
    <r>
      <rPr>
        <vertAlign val="subscript"/>
        <sz val="12"/>
        <color rgb="FF000000"/>
        <rFont val="Arial"/>
      </rPr>
      <t>0</t>
    </r>
    <r>
      <rPr>
        <sz val="12"/>
        <color rgb="FF000000"/>
        <rFont val="Arial"/>
      </rPr>
      <t xml:space="preserve"> = valor inicial do bem</t>
    </r>
  </si>
  <si>
    <r>
      <rPr>
        <sz val="12"/>
        <color rgb="FF000000"/>
        <rFont val="Arial1"/>
      </rPr>
      <t>V</t>
    </r>
    <r>
      <rPr>
        <vertAlign val="subscript"/>
        <sz val="12"/>
        <color rgb="FF000000"/>
        <rFont val="Arial"/>
      </rPr>
      <t>r</t>
    </r>
    <r>
      <rPr>
        <sz val="12"/>
        <color rgb="FF000000"/>
        <rFont val="Arial"/>
      </rPr>
      <t xml:space="preserve"> = valor residual do bem</t>
    </r>
  </si>
  <si>
    <t>n = vida útil do bem em anos</t>
  </si>
  <si>
    <t>1. Esta planilha é somente um modelo de cálculo expedito e deve ser ajustada conforme cada caso concreto.</t>
  </si>
  <si>
    <t>2. Dimensionar separadamente setores atendidos por veículos de capacidade de carga diferentes.</t>
  </si>
  <si>
    <t>3. Preencher somente células em amarelo</t>
  </si>
  <si>
    <t>7. Dimensionamento da frota</t>
  </si>
  <si>
    <t>Indicador</t>
  </si>
  <si>
    <t>Unid</t>
  </si>
  <si>
    <t>População (H)</t>
  </si>
  <si>
    <t>hab</t>
  </si>
  <si>
    <t>Geração per capita (G)</t>
  </si>
  <si>
    <t>Kg/hab.dia</t>
  </si>
  <si>
    <t>Geração total diária (Qd)</t>
  </si>
  <si>
    <t>ton/dia</t>
  </si>
  <si>
    <t>Geração Mensal</t>
  </si>
  <si>
    <t>Número de dias de coleta por semana (Dc)</t>
  </si>
  <si>
    <t>Quantitativo diário de coleta (Qc)</t>
  </si>
  <si>
    <t>Densidade RSU compactado</t>
  </si>
  <si>
    <t>Kg/m³</t>
  </si>
  <si>
    <t>Tipo de Veículo (1 = toco, 2 = truck)</t>
  </si>
  <si>
    <t>Capacidade do Compactador</t>
  </si>
  <si>
    <t>m³</t>
  </si>
  <si>
    <t>Capacidade nominal de carga (Cc)</t>
  </si>
  <si>
    <t>Número de Cargas por dia (Nc)</t>
  </si>
  <si>
    <t>Número total de percursos de coleta por veículo, por dia (Np)</t>
  </si>
  <si>
    <t>Número de veículos da Frota (F)</t>
  </si>
  <si>
    <t>Estoque recuperado início do Período 01-01-2019</t>
  </si>
  <si>
    <t>Estoque recuperado final do Período 31-01-2019</t>
  </si>
  <si>
    <t>Variação Emprego Absoluta de 01-01-2019 a 31-01-2019</t>
  </si>
  <si>
    <t>2.1. Uniformes e EPIs zelador</t>
  </si>
  <si>
    <r>
      <t xml:space="preserve">Total </t>
    </r>
    <r>
      <rPr>
        <b/>
        <u/>
        <sz val="8"/>
        <color rgb="FF000000"/>
        <rFont val="Calibri"/>
        <family val="2"/>
      </rPr>
      <t>(R$)</t>
    </r>
  </si>
  <si>
    <t>CARGA HORÁRIA: 44 HORAS SEMANAIS</t>
  </si>
  <si>
    <t>Camisa social</t>
  </si>
  <si>
    <t>PREÇO MENSAL POR PESSOA  (R$/mês)/20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</si>
</sst>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\ #,##0.00\ ;&quot; (&quot;#,##0.00\);\-#\ ;\ @\ "/>
    <numFmt numFmtId="165" formatCode="&quot;R$ &quot;#,##0.00"/>
    <numFmt numFmtId="166" formatCode="&quot;R$ &quot;#,##0.00\ ;&quot;(R$ &quot;#,##0.00\)"/>
    <numFmt numFmtId="167" formatCode="\ 0\ ;&quot; (&quot;0\);\-#\ ;\ @\ "/>
    <numFmt numFmtId="168" formatCode="0.0000"/>
    <numFmt numFmtId="169" formatCode="\ #,##0.000\ ;\-#,##0.000\ ;\-#\ ;\ @\ "/>
    <numFmt numFmtId="170" formatCode="\ #,##0.00\ ;\-#,##0.00\ ;\-#\ ;\ @\ "/>
    <numFmt numFmtId="171" formatCode="\ #,##0.0\ ;\-#,##0.0\ ;\-#\ ;\ @\ "/>
  </numFmts>
  <fonts count="37">
    <font>
      <sz val="11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sz val="10"/>
      <color rgb="FFCC0000"/>
      <name val="Arial"/>
    </font>
    <font>
      <b/>
      <sz val="10"/>
      <color rgb="FFFFFFFF"/>
      <name val="Arial"/>
    </font>
    <font>
      <i/>
      <sz val="10"/>
      <color rgb="FF808080"/>
      <name val="Arial"/>
    </font>
    <font>
      <sz val="10"/>
      <color rgb="FF006600"/>
      <name val="Arial"/>
    </font>
    <font>
      <b/>
      <sz val="24"/>
      <color rgb="FF000000"/>
      <name val="Arial"/>
    </font>
    <font>
      <sz val="18"/>
      <color rgb="FF000000"/>
      <name val="Arial"/>
    </font>
    <font>
      <sz val="12"/>
      <color rgb="FF000000"/>
      <name val="Arial"/>
    </font>
    <font>
      <u/>
      <sz val="10"/>
      <color rgb="FF0000EE"/>
      <name val="Arial"/>
    </font>
    <font>
      <sz val="10"/>
      <color rgb="FF996600"/>
      <name val="Arial"/>
    </font>
    <font>
      <sz val="10"/>
      <color rgb="FF333333"/>
      <name val="Arial"/>
    </font>
    <font>
      <b/>
      <i/>
      <u/>
      <sz val="10"/>
      <color rgb="FF000000"/>
      <name val="Arial"/>
    </font>
    <font>
      <sz val="10"/>
      <color rgb="FF000000"/>
      <name val="Arial1"/>
    </font>
    <font>
      <b/>
      <sz val="10"/>
      <color rgb="FF000000"/>
      <name val="Arial1"/>
    </font>
    <font>
      <sz val="10"/>
      <color rgb="FF000000"/>
      <name val="Arial"/>
    </font>
    <font>
      <sz val="11"/>
      <color rgb="FF000000"/>
      <name val="Arial1"/>
    </font>
    <font>
      <b/>
      <sz val="12"/>
      <color rgb="FF000000"/>
      <name val="Arial1"/>
    </font>
    <font>
      <sz val="9"/>
      <color rgb="FF000000"/>
      <name val="Arial"/>
    </font>
    <font>
      <b/>
      <sz val="14"/>
      <color rgb="FF000000"/>
      <name val="Arial1"/>
    </font>
    <font>
      <b/>
      <sz val="11"/>
      <color rgb="FF000000"/>
      <name val="Arial1"/>
    </font>
    <font>
      <sz val="13"/>
      <color rgb="FF000000"/>
      <name val="Arial1"/>
    </font>
    <font>
      <u/>
      <sz val="10"/>
      <color rgb="FF0000FF"/>
      <name val="Arial1"/>
    </font>
    <font>
      <b/>
      <sz val="9"/>
      <color rgb="FF000000"/>
      <name val="Arial"/>
    </font>
    <font>
      <sz val="12"/>
      <color rgb="FF000000"/>
      <name val="Arial1"/>
    </font>
    <font>
      <vertAlign val="subscript"/>
      <sz val="12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1"/>
    </font>
    <font>
      <sz val="8"/>
      <color rgb="FF000000"/>
      <name val="Arial1"/>
    </font>
    <font>
      <sz val="8"/>
      <color rgb="FF000000"/>
      <name val="Arial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u/>
      <sz val="8"/>
      <color rgb="FF000000"/>
      <name val="Calibri"/>
      <family val="2"/>
    </font>
    <font>
      <i/>
      <sz val="8"/>
      <color rgb="FF00000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EEECE1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D9D9D9"/>
        <bgColor rgb="FFDDDDDD"/>
      </patternFill>
    </fill>
    <fill>
      <patternFill patternType="solid">
        <fgColor rgb="FFA6A6A6"/>
        <bgColor rgb="FFBFBFBF"/>
      </patternFill>
    </fill>
    <fill>
      <patternFill patternType="solid">
        <fgColor rgb="FFDDD9C3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EEECE1"/>
        <bgColor rgb="FFDDDDDD"/>
      </patternFill>
    </fill>
  </fills>
  <borders count="17">
    <border>
      <left/>
      <right/>
      <top/>
      <bottom/>
      <diagonal/>
    </border>
    <border>
      <left style="hair">
        <color rgb="FF808080"/>
      </left>
      <right style="hair">
        <color rgb="FF808080"/>
      </right>
      <top style="hair">
        <color rgb="FF808080"/>
      </top>
      <bottom style="hair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2">
    <xf numFmtId="0" fontId="0" fillId="0" borderId="0"/>
    <xf numFmtId="164" fontId="29" fillId="0" borderId="0" applyBorder="0" applyProtection="0"/>
    <xf numFmtId="9" fontId="29" fillId="0" borderId="0" applyBorder="0" applyProtection="0"/>
    <xf numFmtId="0" fontId="23" fillId="0" borderId="0" applyBorder="0" applyProtection="0"/>
    <xf numFmtId="0" fontId="1" fillId="0" borderId="0" applyBorder="0" applyProtection="0"/>
    <xf numFmtId="0" fontId="2" fillId="2" borderId="0" applyBorder="0" applyProtection="0"/>
    <xf numFmtId="0" fontId="2" fillId="3" borderId="0" applyBorder="0" applyProtection="0"/>
    <xf numFmtId="0" fontId="1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0" borderId="0" applyBorder="0" applyProtection="0"/>
    <xf numFmtId="0" fontId="11" fillId="8" borderId="0" applyBorder="0" applyProtection="0"/>
    <xf numFmtId="0" fontId="12" fillId="8" borderId="1" applyProtection="0"/>
    <xf numFmtId="0" fontId="13" fillId="0" borderId="0" applyBorder="0" applyProtection="0"/>
    <xf numFmtId="0" fontId="29" fillId="0" borderId="0" applyBorder="0" applyProtection="0"/>
    <xf numFmtId="0" fontId="29" fillId="0" borderId="0" applyBorder="0" applyProtection="0"/>
    <xf numFmtId="0" fontId="3" fillId="0" borderId="0" applyBorder="0" applyProtection="0"/>
  </cellStyleXfs>
  <cellXfs count="202">
    <xf numFmtId="0" fontId="0" fillId="0" borderId="0" xfId="0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4" fillId="0" borderId="0" xfId="0" applyFont="1"/>
    <xf numFmtId="0" fontId="20" fillId="0" borderId="0" xfId="0" applyFont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10" fontId="17" fillId="0" borderId="6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10" fontId="21" fillId="0" borderId="6" xfId="0" applyNumberFormat="1" applyFont="1" applyBorder="1" applyAlignment="1">
      <alignment horizontal="right" vertical="center"/>
    </xf>
    <xf numFmtId="0" fontId="17" fillId="12" borderId="6" xfId="0" applyFont="1" applyFill="1" applyBorder="1" applyAlignment="1">
      <alignment horizontal="left" vertical="center"/>
    </xf>
    <xf numFmtId="0" fontId="21" fillId="12" borderId="6" xfId="0" applyFont="1" applyFill="1" applyBorder="1" applyAlignment="1">
      <alignment horizontal="left" vertical="center"/>
    </xf>
    <xf numFmtId="10" fontId="21" fillId="12" borderId="6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10" fontId="14" fillId="0" borderId="0" xfId="0" applyNumberFormat="1" applyFont="1"/>
    <xf numFmtId="9" fontId="17" fillId="0" borderId="0" xfId="2" applyFont="1" applyAlignment="1" applyProtection="1">
      <alignment horizontal="right" vertical="center"/>
    </xf>
    <xf numFmtId="0" fontId="17" fillId="0" borderId="6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7" fillId="13" borderId="6" xfId="0" applyFont="1" applyFill="1" applyBorder="1" applyAlignment="1">
      <alignment horizontal="left" vertical="center"/>
    </xf>
    <xf numFmtId="0" fontId="21" fillId="13" borderId="6" xfId="0" applyFont="1" applyFill="1" applyBorder="1" applyAlignment="1">
      <alignment horizontal="left" vertical="center"/>
    </xf>
    <xf numFmtId="10" fontId="21" fillId="13" borderId="6" xfId="0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left" vertical="center"/>
    </xf>
    <xf numFmtId="10" fontId="21" fillId="0" borderId="0" xfId="0" applyNumberFormat="1" applyFont="1" applyAlignment="1">
      <alignment horizontal="right" vertical="center"/>
    </xf>
    <xf numFmtId="0" fontId="14" fillId="9" borderId="0" xfId="0" applyFont="1" applyFill="1" applyAlignment="1">
      <alignment horizontal="left" vertical="center"/>
    </xf>
    <xf numFmtId="10" fontId="17" fillId="0" borderId="0" xfId="0" applyNumberFormat="1" applyFont="1" applyAlignment="1">
      <alignment horizontal="right" vertical="center"/>
    </xf>
    <xf numFmtId="0" fontId="17" fillId="9" borderId="0" xfId="0" applyFont="1" applyFill="1" applyAlignment="1">
      <alignment horizontal="left" vertical="center"/>
    </xf>
    <xf numFmtId="10" fontId="17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0" fontId="21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justify" vertical="center"/>
    </xf>
    <xf numFmtId="0" fontId="23" fillId="0" borderId="0" xfId="3" applyFont="1" applyAlignment="1" applyProtection="1">
      <alignment horizontal="left" vertical="center"/>
    </xf>
    <xf numFmtId="0" fontId="17" fillId="0" borderId="0" xfId="0" applyFont="1" applyAlignment="1">
      <alignment horizontal="right" vertical="center"/>
    </xf>
    <xf numFmtId="0" fontId="23" fillId="0" borderId="0" xfId="3" applyFont="1" applyAlignment="1" applyProtection="1">
      <alignment vertical="center"/>
    </xf>
    <xf numFmtId="0" fontId="15" fillId="0" borderId="0" xfId="0" applyFont="1"/>
    <xf numFmtId="0" fontId="21" fillId="0" borderId="7" xfId="0" applyFont="1" applyBorder="1"/>
    <xf numFmtId="0" fontId="17" fillId="0" borderId="9" xfId="0" applyFont="1" applyBorder="1"/>
    <xf numFmtId="0" fontId="21" fillId="0" borderId="2" xfId="0" applyFont="1" applyBorder="1"/>
    <xf numFmtId="0" fontId="21" fillId="15" borderId="6" xfId="0" applyFont="1" applyFill="1" applyBorder="1"/>
    <xf numFmtId="0" fontId="21" fillId="0" borderId="6" xfId="0" applyFont="1" applyBorder="1"/>
    <xf numFmtId="0" fontId="17" fillId="0" borderId="6" xfId="0" applyFont="1" applyBorder="1"/>
    <xf numFmtId="0" fontId="17" fillId="15" borderId="6" xfId="0" applyFont="1" applyFill="1" applyBorder="1"/>
    <xf numFmtId="0" fontId="17" fillId="0" borderId="2" xfId="0" applyFont="1" applyBorder="1"/>
    <xf numFmtId="0" fontId="17" fillId="15" borderId="2" xfId="0" applyFont="1" applyFill="1" applyBorder="1"/>
    <xf numFmtId="0" fontId="17" fillId="0" borderId="3" xfId="0" applyFont="1" applyBorder="1"/>
    <xf numFmtId="0" fontId="17" fillId="15" borderId="3" xfId="0" applyFont="1" applyFill="1" applyBorder="1"/>
    <xf numFmtId="0" fontId="17" fillId="0" borderId="4" xfId="0" applyFont="1" applyBorder="1"/>
    <xf numFmtId="0" fontId="17" fillId="0" borderId="5" xfId="0" applyFont="1" applyBorder="1"/>
    <xf numFmtId="0" fontId="21" fillId="0" borderId="13" xfId="0" applyFont="1" applyBorder="1"/>
    <xf numFmtId="168" fontId="21" fillId="0" borderId="2" xfId="0" applyNumberFormat="1" applyFont="1" applyBorder="1"/>
    <xf numFmtId="0" fontId="21" fillId="0" borderId="12" xfId="0" applyFont="1" applyBorder="1"/>
    <xf numFmtId="9" fontId="21" fillId="0" borderId="2" xfId="0" applyNumberFormat="1" applyFont="1" applyBorder="1"/>
    <xf numFmtId="0" fontId="21" fillId="0" borderId="10" xfId="0" applyFont="1" applyBorder="1"/>
    <xf numFmtId="168" fontId="21" fillId="0" borderId="3" xfId="0" applyNumberFormat="1" applyFont="1" applyBorder="1"/>
    <xf numFmtId="0" fontId="0" fillId="0" borderId="0" xfId="0"/>
    <xf numFmtId="0" fontId="0" fillId="0" borderId="0" xfId="0" applyAlignment="1">
      <alignment horizont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9" fontId="17" fillId="0" borderId="6" xfId="2" applyFont="1" applyBorder="1" applyAlignment="1" applyProtection="1"/>
    <xf numFmtId="9" fontId="17" fillId="0" borderId="6" xfId="2" applyFont="1" applyBorder="1" applyAlignment="1" applyProtection="1">
      <alignment horizontal="center"/>
    </xf>
    <xf numFmtId="0" fontId="17" fillId="0" borderId="6" xfId="0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10" fontId="17" fillId="15" borderId="6" xfId="0" applyNumberFormat="1" applyFont="1" applyFill="1" applyBorder="1" applyAlignment="1">
      <alignment horizontal="center" vertical="center"/>
    </xf>
    <xf numFmtId="10" fontId="17" fillId="0" borderId="6" xfId="2" applyNumberFormat="1" applyFont="1" applyBorder="1" applyAlignment="1" applyProtection="1">
      <alignment horizontal="right"/>
    </xf>
    <xf numFmtId="10" fontId="17" fillId="0" borderId="6" xfId="0" applyNumberFormat="1" applyFont="1" applyBorder="1" applyAlignment="1">
      <alignment horizontal="center" vertical="center"/>
    </xf>
    <xf numFmtId="10" fontId="17" fillId="15" borderId="6" xfId="2" applyNumberFormat="1" applyFont="1" applyFill="1" applyBorder="1" applyAlignment="1" applyProtection="1">
      <alignment horizontal="center"/>
    </xf>
    <xf numFmtId="10" fontId="17" fillId="0" borderId="6" xfId="2" applyNumberFormat="1" applyFont="1" applyBorder="1" applyAlignment="1" applyProtection="1"/>
    <xf numFmtId="0" fontId="17" fillId="0" borderId="6" xfId="0" applyFont="1" applyBorder="1" applyAlignment="1">
      <alignment horizontal="right"/>
    </xf>
    <xf numFmtId="0" fontId="17" fillId="15" borderId="6" xfId="0" applyFont="1" applyFill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13" xfId="0" applyFont="1" applyBorder="1" applyAlignment="1">
      <alignment vertical="center"/>
    </xf>
    <xf numFmtId="0" fontId="17" fillId="0" borderId="14" xfId="0" applyFont="1" applyBorder="1" applyAlignment="1">
      <alignment vertical="center"/>
    </xf>
    <xf numFmtId="10" fontId="17" fillId="0" borderId="15" xfId="0" applyNumberFormat="1" applyFont="1" applyBorder="1" applyAlignment="1">
      <alignment vertical="center"/>
    </xf>
    <xf numFmtId="0" fontId="17" fillId="0" borderId="10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16" xfId="0" applyFont="1" applyBorder="1" applyAlignment="1">
      <alignment vertical="center"/>
    </xf>
    <xf numFmtId="0" fontId="21" fillId="12" borderId="7" xfId="0" applyFont="1" applyFill="1" applyBorder="1" applyAlignment="1">
      <alignment vertical="center" wrapText="1"/>
    </xf>
    <xf numFmtId="0" fontId="17" fillId="12" borderId="8" xfId="0" applyFont="1" applyFill="1" applyBorder="1" applyAlignment="1">
      <alignment vertical="center"/>
    </xf>
    <xf numFmtId="10" fontId="21" fillId="12" borderId="9" xfId="0" applyNumberFormat="1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16" borderId="6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2" fontId="17" fillId="16" borderId="6" xfId="0" applyNumberFormat="1" applyFont="1" applyFill="1" applyBorder="1" applyAlignment="1">
      <alignment horizontal="right" vertical="center"/>
    </xf>
    <xf numFmtId="0" fontId="20" fillId="14" borderId="2" xfId="0" applyFont="1" applyFill="1" applyBorder="1" applyAlignment="1">
      <alignment horizontal="center"/>
    </xf>
    <xf numFmtId="0" fontId="14" fillId="0" borderId="12" xfId="0" applyFont="1" applyBorder="1"/>
    <xf numFmtId="0" fontId="25" fillId="0" borderId="12" xfId="0" applyFont="1" applyBorder="1" applyAlignment="1">
      <alignment horizontal="justify"/>
    </xf>
    <xf numFmtId="0" fontId="25" fillId="0" borderId="3" xfId="0" applyFont="1" applyBorder="1" applyAlignment="1">
      <alignment horizontal="justify"/>
    </xf>
    <xf numFmtId="0" fontId="20" fillId="0" borderId="6" xfId="0" applyFont="1" applyBorder="1" applyAlignment="1">
      <alignment horizontal="center"/>
    </xf>
    <xf numFmtId="0" fontId="14" fillId="0" borderId="0" xfId="0" applyFont="1"/>
    <xf numFmtId="0" fontId="17" fillId="0" borderId="6" xfId="0" applyFont="1" applyBorder="1"/>
    <xf numFmtId="169" fontId="17" fillId="0" borderId="6" xfId="1" applyNumberFormat="1" applyFont="1" applyBorder="1" applyAlignment="1" applyProtection="1">
      <alignment horizontal="center" vertical="center" wrapText="1"/>
    </xf>
    <xf numFmtId="170" fontId="17" fillId="0" borderId="6" xfId="0" applyNumberFormat="1" applyFont="1" applyBorder="1"/>
    <xf numFmtId="2" fontId="17" fillId="0" borderId="6" xfId="0" applyNumberFormat="1" applyFont="1" applyBorder="1"/>
    <xf numFmtId="170" fontId="17" fillId="15" borderId="6" xfId="0" applyNumberFormat="1" applyFont="1" applyFill="1" applyBorder="1"/>
    <xf numFmtId="171" fontId="17" fillId="15" borderId="6" xfId="0" applyNumberFormat="1" applyFont="1" applyFill="1" applyBorder="1"/>
    <xf numFmtId="0" fontId="30" fillId="0" borderId="0" xfId="0" applyFont="1" applyAlignment="1">
      <alignment vertical="center"/>
    </xf>
    <xf numFmtId="0" fontId="31" fillId="9" borderId="0" xfId="0" applyFont="1" applyFill="1" applyAlignment="1">
      <alignment vertical="center"/>
    </xf>
    <xf numFmtId="164" fontId="31" fillId="9" borderId="0" xfId="1" applyFont="1" applyFill="1" applyAlignment="1" applyProtection="1">
      <alignment vertical="center"/>
    </xf>
    <xf numFmtId="164" fontId="31" fillId="0" borderId="0" xfId="1" applyFont="1" applyAlignment="1" applyProtection="1">
      <alignment vertical="center"/>
    </xf>
    <xf numFmtId="0" fontId="31" fillId="0" borderId="0" xfId="0" applyFont="1" applyAlignment="1">
      <alignment vertical="center"/>
    </xf>
    <xf numFmtId="0" fontId="32" fillId="0" borderId="0" xfId="0" applyFont="1"/>
    <xf numFmtId="4" fontId="31" fillId="0" borderId="0" xfId="0" applyNumberFormat="1" applyFont="1" applyAlignment="1">
      <alignment vertical="center"/>
    </xf>
    <xf numFmtId="0" fontId="32" fillId="9" borderId="0" xfId="0" applyFont="1" applyFill="1" applyAlignment="1">
      <alignment vertical="center"/>
    </xf>
    <xf numFmtId="4" fontId="32" fillId="9" borderId="0" xfId="0" applyNumberFormat="1" applyFont="1" applyFill="1" applyAlignment="1">
      <alignment vertical="center"/>
    </xf>
    <xf numFmtId="164" fontId="32" fillId="0" borderId="0" xfId="1" applyFont="1" applyAlignment="1" applyProtection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4" fontId="33" fillId="9" borderId="0" xfId="0" applyNumberFormat="1" applyFont="1" applyFill="1" applyAlignment="1">
      <alignment vertical="center"/>
    </xf>
    <xf numFmtId="164" fontId="33" fillId="9" borderId="0" xfId="1" applyFont="1" applyFill="1" applyAlignment="1" applyProtection="1">
      <alignment vertical="center"/>
    </xf>
    <xf numFmtId="0" fontId="33" fillId="0" borderId="4" xfId="0" applyFont="1" applyBorder="1" applyAlignment="1">
      <alignment vertical="center"/>
    </xf>
    <xf numFmtId="164" fontId="33" fillId="9" borderId="5" xfId="1" applyFont="1" applyFill="1" applyBorder="1" applyAlignment="1" applyProtection="1">
      <alignment vertical="center"/>
    </xf>
    <xf numFmtId="164" fontId="34" fillId="0" borderId="7" xfId="1" applyFont="1" applyBorder="1" applyAlignment="1" applyProtection="1">
      <alignment horizontal="center" vertical="center"/>
    </xf>
    <xf numFmtId="164" fontId="33" fillId="9" borderId="8" xfId="1" applyFont="1" applyFill="1" applyBorder="1" applyAlignment="1" applyProtection="1">
      <alignment vertical="center"/>
    </xf>
    <xf numFmtId="164" fontId="34" fillId="9" borderId="8" xfId="1" applyFont="1" applyFill="1" applyBorder="1" applyAlignment="1" applyProtection="1">
      <alignment vertical="center"/>
    </xf>
    <xf numFmtId="164" fontId="34" fillId="9" borderId="7" xfId="1" applyFont="1" applyFill="1" applyBorder="1" applyAlignment="1" applyProtection="1">
      <alignment vertical="center"/>
    </xf>
    <xf numFmtId="164" fontId="34" fillId="9" borderId="6" xfId="1" applyFont="1" applyFill="1" applyBorder="1" applyAlignment="1" applyProtection="1">
      <alignment horizontal="center" vertical="center"/>
    </xf>
    <xf numFmtId="164" fontId="34" fillId="0" borderId="7" xfId="1" applyFont="1" applyBorder="1" applyAlignment="1" applyProtection="1">
      <alignment vertical="center"/>
    </xf>
    <xf numFmtId="164" fontId="34" fillId="9" borderId="8" xfId="0" applyNumberFormat="1" applyFont="1" applyFill="1" applyBorder="1" applyAlignment="1">
      <alignment vertical="center"/>
    </xf>
    <xf numFmtId="165" fontId="34" fillId="9" borderId="6" xfId="0" applyNumberFormat="1" applyFont="1" applyFill="1" applyBorder="1" applyAlignment="1">
      <alignment vertical="center"/>
    </xf>
    <xf numFmtId="10" fontId="34" fillId="9" borderId="9" xfId="2" applyNumberFormat="1" applyFont="1" applyFill="1" applyBorder="1" applyAlignment="1" applyProtection="1">
      <alignment vertical="center"/>
    </xf>
    <xf numFmtId="164" fontId="30" fillId="0" borderId="0" xfId="1" applyFont="1" applyAlignment="1" applyProtection="1">
      <alignment vertical="center"/>
    </xf>
    <xf numFmtId="164" fontId="33" fillId="0" borderId="7" xfId="1" applyFont="1" applyBorder="1" applyAlignment="1" applyProtection="1">
      <alignment vertical="center"/>
    </xf>
    <xf numFmtId="164" fontId="33" fillId="9" borderId="8" xfId="0" applyNumberFormat="1" applyFont="1" applyFill="1" applyBorder="1" applyAlignment="1">
      <alignment vertical="center"/>
    </xf>
    <xf numFmtId="165" fontId="33" fillId="9" borderId="6" xfId="0" applyNumberFormat="1" applyFont="1" applyFill="1" applyBorder="1" applyAlignment="1">
      <alignment vertical="center"/>
    </xf>
    <xf numFmtId="10" fontId="33" fillId="9" borderId="9" xfId="2" applyNumberFormat="1" applyFont="1" applyFill="1" applyBorder="1" applyAlignment="1" applyProtection="1">
      <alignment vertical="center"/>
    </xf>
    <xf numFmtId="164" fontId="34" fillId="0" borderId="7" xfId="1" applyFont="1" applyBorder="1" applyAlignment="1" applyProtection="1">
      <alignment horizontal="left" vertical="center"/>
    </xf>
    <xf numFmtId="4" fontId="34" fillId="9" borderId="8" xfId="0" applyNumberFormat="1" applyFont="1" applyFill="1" applyBorder="1" applyAlignment="1">
      <alignment horizontal="center" vertical="center"/>
    </xf>
    <xf numFmtId="166" fontId="34" fillId="9" borderId="7" xfId="0" applyNumberFormat="1" applyFont="1" applyFill="1" applyBorder="1" applyAlignment="1">
      <alignment vertical="center"/>
    </xf>
    <xf numFmtId="9" fontId="34" fillId="9" borderId="6" xfId="2" applyFont="1" applyFill="1" applyBorder="1" applyAlignment="1" applyProtection="1">
      <alignment vertical="center"/>
    </xf>
    <xf numFmtId="0" fontId="33" fillId="9" borderId="0" xfId="0" applyFont="1" applyFill="1" applyAlignment="1">
      <alignment vertical="center"/>
    </xf>
    <xf numFmtId="164" fontId="34" fillId="9" borderId="2" xfId="1" applyFont="1" applyFill="1" applyBorder="1" applyAlignment="1" applyProtection="1">
      <alignment horizontal="right" vertical="center"/>
    </xf>
    <xf numFmtId="0" fontId="33" fillId="9" borderId="8" xfId="0" applyFont="1" applyFill="1" applyBorder="1" applyAlignment="1">
      <alignment vertical="center"/>
    </xf>
    <xf numFmtId="1" fontId="33" fillId="9" borderId="6" xfId="1" applyNumberFormat="1" applyFont="1" applyFill="1" applyBorder="1" applyAlignment="1" applyProtection="1">
      <alignment horizontal="center" vertical="center"/>
    </xf>
    <xf numFmtId="164" fontId="34" fillId="0" borderId="10" xfId="1" applyFont="1" applyBorder="1" applyAlignment="1" applyProtection="1">
      <alignment vertical="center"/>
    </xf>
    <xf numFmtId="4" fontId="34" fillId="9" borderId="11" xfId="0" applyNumberFormat="1" applyFont="1" applyFill="1" applyBorder="1" applyAlignment="1">
      <alignment vertical="center"/>
    </xf>
    <xf numFmtId="0" fontId="33" fillId="9" borderId="11" xfId="0" applyFont="1" applyFill="1" applyBorder="1" applyAlignment="1">
      <alignment vertical="center"/>
    </xf>
    <xf numFmtId="1" fontId="34" fillId="9" borderId="3" xfId="1" applyNumberFormat="1" applyFont="1" applyFill="1" applyBorder="1" applyAlignment="1" applyProtection="1">
      <alignment horizontal="center" vertical="center"/>
    </xf>
    <xf numFmtId="164" fontId="33" fillId="0" borderId="0" xfId="1" applyFont="1" applyAlignment="1" applyProtection="1">
      <alignment vertical="center"/>
    </xf>
    <xf numFmtId="167" fontId="33" fillId="9" borderId="0" xfId="1" applyNumberFormat="1" applyFont="1" applyFill="1" applyAlignment="1" applyProtection="1">
      <alignment horizontal="center" vertical="center"/>
    </xf>
    <xf numFmtId="9" fontId="34" fillId="9" borderId="9" xfId="2" applyFont="1" applyFill="1" applyBorder="1" applyAlignment="1" applyProtection="1">
      <alignment vertical="center"/>
    </xf>
    <xf numFmtId="164" fontId="34" fillId="9" borderId="0" xfId="1" applyFont="1" applyFill="1" applyAlignment="1" applyProtection="1">
      <alignment vertical="center"/>
    </xf>
    <xf numFmtId="0" fontId="34" fillId="9" borderId="0" xfId="0" applyFont="1" applyFill="1" applyAlignment="1">
      <alignment vertical="center"/>
    </xf>
    <xf numFmtId="167" fontId="34" fillId="9" borderId="0" xfId="1" applyNumberFormat="1" applyFont="1" applyFill="1" applyAlignment="1" applyProtection="1">
      <alignment horizontal="center" vertical="center"/>
    </xf>
    <xf numFmtId="0" fontId="34" fillId="0" borderId="0" xfId="0" applyFont="1" applyAlignment="1">
      <alignment vertical="center"/>
    </xf>
    <xf numFmtId="0" fontId="34" fillId="11" borderId="6" xfId="0" applyFont="1" applyFill="1" applyBorder="1" applyAlignment="1">
      <alignment horizontal="center" vertical="center"/>
    </xf>
    <xf numFmtId="0" fontId="34" fillId="9" borderId="6" xfId="0" applyFont="1" applyFill="1" applyBorder="1" applyAlignment="1">
      <alignment horizontal="center" vertical="center"/>
    </xf>
    <xf numFmtId="0" fontId="33" fillId="0" borderId="3" xfId="0" applyFont="1" applyBorder="1" applyAlignment="1">
      <alignment vertical="center"/>
    </xf>
    <xf numFmtId="0" fontId="33" fillId="9" borderId="3" xfId="0" applyFont="1" applyFill="1" applyBorder="1" applyAlignment="1">
      <alignment horizontal="center" vertical="center"/>
    </xf>
    <xf numFmtId="164" fontId="33" fillId="9" borderId="3" xfId="1" applyFont="1" applyFill="1" applyBorder="1" applyAlignment="1" applyProtection="1">
      <alignment horizontal="center" vertical="center"/>
    </xf>
    <xf numFmtId="0" fontId="33" fillId="0" borderId="6" xfId="0" applyFont="1" applyBorder="1" applyAlignment="1">
      <alignment vertical="center"/>
    </xf>
    <xf numFmtId="0" fontId="33" fillId="9" borderId="6" xfId="0" applyFont="1" applyFill="1" applyBorder="1" applyAlignment="1">
      <alignment horizontal="center" vertical="center"/>
    </xf>
    <xf numFmtId="2" fontId="33" fillId="9" borderId="6" xfId="0" applyNumberFormat="1" applyFont="1" applyFill="1" applyBorder="1" applyAlignment="1">
      <alignment horizontal="center" vertical="center"/>
    </xf>
    <xf numFmtId="164" fontId="33" fillId="9" borderId="6" xfId="1" applyFont="1" applyFill="1" applyBorder="1" applyAlignment="1" applyProtection="1">
      <alignment horizontal="center" vertical="center"/>
    </xf>
    <xf numFmtId="0" fontId="33" fillId="0" borderId="2" xfId="0" applyFont="1" applyBorder="1" applyAlignment="1">
      <alignment vertical="center"/>
    </xf>
    <xf numFmtId="0" fontId="34" fillId="0" borderId="2" xfId="0" applyFont="1" applyBorder="1" applyAlignment="1">
      <alignment vertical="center"/>
    </xf>
    <xf numFmtId="0" fontId="34" fillId="9" borderId="0" xfId="0" applyFont="1" applyFill="1" applyAlignment="1">
      <alignment horizontal="center" vertical="center"/>
    </xf>
    <xf numFmtId="164" fontId="34" fillId="9" borderId="0" xfId="1" applyFont="1" applyFill="1" applyAlignment="1" applyProtection="1">
      <alignment horizontal="center" vertical="center"/>
    </xf>
    <xf numFmtId="164" fontId="34" fillId="9" borderId="12" xfId="1" applyFont="1" applyFill="1" applyBorder="1" applyAlignment="1" applyProtection="1">
      <alignment horizontal="center" vertical="center"/>
    </xf>
    <xf numFmtId="164" fontId="34" fillId="9" borderId="2" xfId="1" applyFont="1" applyFill="1" applyBorder="1" applyAlignment="1" applyProtection="1">
      <alignment horizontal="center" vertical="center"/>
    </xf>
    <xf numFmtId="164" fontId="33" fillId="9" borderId="0" xfId="1" applyFont="1" applyFill="1" applyAlignment="1" applyProtection="1">
      <alignment horizontal="right" vertical="center"/>
    </xf>
    <xf numFmtId="164" fontId="33" fillId="9" borderId="6" xfId="1" applyFont="1" applyFill="1" applyBorder="1" applyAlignment="1" applyProtection="1">
      <alignment vertical="center"/>
    </xf>
    <xf numFmtId="164" fontId="34" fillId="9" borderId="9" xfId="1" applyFont="1" applyFill="1" applyBorder="1" applyAlignment="1" applyProtection="1">
      <alignment horizontal="center" vertical="center"/>
    </xf>
    <xf numFmtId="2" fontId="33" fillId="9" borderId="6" xfId="1" applyNumberFormat="1" applyFont="1" applyFill="1" applyBorder="1" applyAlignment="1" applyProtection="1">
      <alignment horizontal="center" vertical="center"/>
    </xf>
    <xf numFmtId="1" fontId="33" fillId="9" borderId="6" xfId="0" applyNumberFormat="1" applyFont="1" applyFill="1" applyBorder="1" applyAlignment="1">
      <alignment horizontal="center" vertical="center"/>
    </xf>
    <xf numFmtId="0" fontId="34" fillId="0" borderId="6" xfId="0" applyFont="1" applyBorder="1" applyAlignment="1">
      <alignment vertical="center"/>
    </xf>
    <xf numFmtId="0" fontId="34" fillId="9" borderId="8" xfId="0" applyFont="1" applyFill="1" applyBorder="1" applyAlignment="1">
      <alignment horizontal="center" vertical="center"/>
    </xf>
    <xf numFmtId="164" fontId="34" fillId="9" borderId="8" xfId="1" applyFont="1" applyFill="1" applyBorder="1" applyAlignment="1" applyProtection="1">
      <alignment horizontal="center" vertical="center"/>
    </xf>
    <xf numFmtId="0" fontId="33" fillId="9" borderId="0" xfId="0" applyFont="1" applyFill="1" applyAlignment="1">
      <alignment horizontal="right" vertical="center"/>
    </xf>
    <xf numFmtId="167" fontId="33" fillId="9" borderId="6" xfId="1" applyNumberFormat="1" applyFont="1" applyFill="1" applyBorder="1" applyAlignment="1" applyProtection="1">
      <alignment horizontal="center" vertical="center"/>
    </xf>
    <xf numFmtId="167" fontId="33" fillId="9" borderId="6" xfId="1" applyNumberFormat="1" applyFont="1" applyFill="1" applyBorder="1" applyAlignment="1" applyProtection="1">
      <alignment vertical="center"/>
    </xf>
    <xf numFmtId="164" fontId="34" fillId="9" borderId="6" xfId="1" applyFont="1" applyFill="1" applyBorder="1" applyAlignment="1" applyProtection="1">
      <alignment vertical="center"/>
    </xf>
    <xf numFmtId="0" fontId="34" fillId="0" borderId="7" xfId="0" applyFont="1" applyBorder="1" applyAlignment="1">
      <alignment vertical="center"/>
    </xf>
    <xf numFmtId="0" fontId="34" fillId="9" borderId="8" xfId="0" applyFont="1" applyFill="1" applyBorder="1" applyAlignment="1">
      <alignment vertical="center"/>
    </xf>
    <xf numFmtId="164" fontId="34" fillId="9" borderId="9" xfId="1" applyFont="1" applyFill="1" applyBorder="1" applyAlignment="1" applyProtection="1">
      <alignment vertical="center"/>
    </xf>
    <xf numFmtId="0" fontId="34" fillId="9" borderId="6" xfId="0" applyFont="1" applyFill="1" applyBorder="1" applyAlignment="1">
      <alignment horizontal="center" vertical="center" wrapText="1"/>
    </xf>
    <xf numFmtId="13" fontId="33" fillId="9" borderId="6" xfId="0" applyNumberFormat="1" applyFont="1" applyFill="1" applyBorder="1" applyAlignment="1">
      <alignment horizontal="center" vertical="center"/>
    </xf>
    <xf numFmtId="0" fontId="33" fillId="0" borderId="6" xfId="0" applyFont="1" applyBorder="1"/>
    <xf numFmtId="0" fontId="33" fillId="9" borderId="6" xfId="0" applyFont="1" applyFill="1" applyBorder="1" applyAlignment="1">
      <alignment horizontal="center"/>
    </xf>
    <xf numFmtId="164" fontId="33" fillId="9" borderId="0" xfId="1" applyFont="1" applyFill="1" applyAlignment="1" applyProtection="1"/>
    <xf numFmtId="164" fontId="31" fillId="0" borderId="0" xfId="1" applyFont="1" applyAlignment="1" applyProtection="1"/>
    <xf numFmtId="0" fontId="31" fillId="0" borderId="0" xfId="0" applyFont="1"/>
    <xf numFmtId="164" fontId="33" fillId="9" borderId="9" xfId="1" applyFont="1" applyFill="1" applyBorder="1" applyAlignment="1" applyProtection="1">
      <alignment vertical="center"/>
    </xf>
    <xf numFmtId="164" fontId="33" fillId="9" borderId="0" xfId="1" applyFont="1" applyFill="1" applyAlignment="1" applyProtection="1">
      <alignment horizontal="center" vertical="center"/>
    </xf>
    <xf numFmtId="164" fontId="36" fillId="9" borderId="6" xfId="1" applyFont="1" applyFill="1" applyBorder="1" applyAlignment="1" applyProtection="1">
      <alignment horizontal="center" vertical="center"/>
    </xf>
    <xf numFmtId="164" fontId="34" fillId="0" borderId="6" xfId="1" applyFont="1" applyBorder="1" applyAlignment="1" applyProtection="1">
      <alignment horizontal="center" vertical="center"/>
    </xf>
    <xf numFmtId="0" fontId="34" fillId="10" borderId="2" xfId="0" applyFont="1" applyFill="1" applyBorder="1" applyAlignment="1">
      <alignment horizontal="center" vertical="center"/>
    </xf>
    <xf numFmtId="0" fontId="34" fillId="10" borderId="3" xfId="0" applyFont="1" applyFill="1" applyBorder="1" applyAlignment="1">
      <alignment horizontal="center" vertical="center"/>
    </xf>
    <xf numFmtId="164" fontId="34" fillId="10" borderId="6" xfId="1" applyFont="1" applyFill="1" applyBorder="1" applyAlignment="1" applyProtection="1">
      <alignment horizontal="center" vertical="center"/>
    </xf>
    <xf numFmtId="164" fontId="34" fillId="0" borderId="7" xfId="1" applyFont="1" applyBorder="1" applyAlignment="1" applyProtection="1">
      <alignment horizontal="left" vertical="center"/>
    </xf>
    <xf numFmtId="0" fontId="20" fillId="10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20" fillId="14" borderId="6" xfId="0" applyFont="1" applyFill="1" applyBorder="1" applyAlignment="1">
      <alignment horizontal="center"/>
    </xf>
    <xf numFmtId="0" fontId="18" fillId="14" borderId="2" xfId="0" applyFont="1" applyFill="1" applyBorder="1" applyAlignment="1">
      <alignment horizontal="center" vertical="center"/>
    </xf>
    <xf numFmtId="9" fontId="21" fillId="0" borderId="6" xfId="2" applyFont="1" applyBorder="1" applyAlignment="1" applyProtection="1">
      <alignment horizontal="center"/>
    </xf>
    <xf numFmtId="0" fontId="17" fillId="0" borderId="6" xfId="0" applyFont="1" applyBorder="1" applyAlignment="1">
      <alignment horizontal="center" vertical="center"/>
    </xf>
    <xf numFmtId="0" fontId="18" fillId="14" borderId="7" xfId="0" applyFont="1" applyFill="1" applyBorder="1" applyAlignment="1">
      <alignment horizontal="center" vertical="center"/>
    </xf>
  </cellXfs>
  <cellStyles count="22">
    <cellStyle name="Accent" xfId="4"/>
    <cellStyle name="Accent 1" xfId="5"/>
    <cellStyle name="Accent 2" xfId="6"/>
    <cellStyle name="Accent 3" xfId="7"/>
    <cellStyle name="Bad" xfId="8"/>
    <cellStyle name="Error" xfId="9"/>
    <cellStyle name="Footnote" xfId="10"/>
    <cellStyle name="Good" xfId="11"/>
    <cellStyle name="Heading" xfId="12"/>
    <cellStyle name="Heading 1" xfId="13"/>
    <cellStyle name="Heading 2" xfId="14"/>
    <cellStyle name="Hiperlink" xfId="3" builtinId="8"/>
    <cellStyle name="Hyperlink" xfId="15"/>
    <cellStyle name="Neutral" xfId="16"/>
    <cellStyle name="Normal" xfId="0" builtinId="0"/>
    <cellStyle name="Note" xfId="17"/>
    <cellStyle name="Porcentagem" xfId="2" builtinId="5"/>
    <cellStyle name="Result" xfId="18"/>
    <cellStyle name="Status" xfId="19"/>
    <cellStyle name="Text" xfId="20"/>
    <cellStyle name="Vírgula" xfId="1" builtinId="3"/>
    <cellStyle name="Warning" xfId="2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EEECE1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DDDDDD"/>
      <rgbColor rgb="FFCCFFCC"/>
      <rgbColor rgb="FFDDD9C3"/>
      <rgbColor rgb="FFBFBFB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333360</xdr:colOff>
      <xdr:row>6</xdr:row>
      <xdr:rowOff>114840</xdr:rowOff>
    </xdr:from>
    <xdr:to>
      <xdr:col>0</xdr:col>
      <xdr:colOff>1161720</xdr:colOff>
      <xdr:row>6</xdr:row>
      <xdr:rowOff>933480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33360" y="114840"/>
          <a:ext cx="828360" cy="818640"/>
        </a:xfrm>
        <a:prstGeom prst="rect">
          <a:avLst/>
        </a:prstGeom>
        <a:ln w="12600">
          <a:noFill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1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12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133</xdr:row>
      <xdr:rowOff>0</xdr:rowOff>
    </xdr:to>
    <xdr:sp macro="" textlink="">
      <xdr:nvSpPr>
        <xdr:cNvPr id="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154</xdr:row>
      <xdr:rowOff>9525</xdr:rowOff>
    </xdr:to>
    <xdr:sp macro="" textlink="">
      <xdr:nvSpPr>
        <xdr:cNvPr id="11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2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2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2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2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0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1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3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4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7</xdr:col>
      <xdr:colOff>200025</xdr:colOff>
      <xdr:row>157</xdr:row>
      <xdr:rowOff>123825</xdr:rowOff>
    </xdr:to>
    <xdr:sp macro="" textlink="">
      <xdr:nvSpPr>
        <xdr:cNvPr id="15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133350</xdr:colOff>
      <xdr:row>49</xdr:row>
      <xdr:rowOff>161925</xdr:rowOff>
    </xdr:to>
    <xdr:sp macro="" textlink="">
      <xdr:nvSpPr>
        <xdr:cNvPr id="20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133350</xdr:colOff>
      <xdr:row>49</xdr:row>
      <xdr:rowOff>161925</xdr:rowOff>
    </xdr:to>
    <xdr:sp macro="" textlink="">
      <xdr:nvSpPr>
        <xdr:cNvPr id="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133350</xdr:colOff>
      <xdr:row>49</xdr:row>
      <xdr:rowOff>161925</xdr:rowOff>
    </xdr:to>
    <xdr:sp macro="" textlink="">
      <xdr:nvSpPr>
        <xdr:cNvPr id="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133350</xdr:colOff>
      <xdr:row>49</xdr:row>
      <xdr:rowOff>161925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133350</xdr:colOff>
      <xdr:row>49</xdr:row>
      <xdr:rowOff>161925</xdr:rowOff>
    </xdr:to>
    <xdr:sp macro="" textlink="">
      <xdr:nvSpPr>
        <xdr:cNvPr id="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133350</xdr:colOff>
      <xdr:row>49</xdr:row>
      <xdr:rowOff>161925</xdr:rowOff>
    </xdr:to>
    <xdr:sp macro="" textlink="">
      <xdr:nvSpPr>
        <xdr:cNvPr id="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16</xdr:col>
      <xdr:colOff>133350</xdr:colOff>
      <xdr:row>49</xdr:row>
      <xdr:rowOff>161925</xdr:rowOff>
    </xdr:to>
    <xdr:sp macro="" textlink="">
      <xdr:nvSpPr>
        <xdr:cNvPr id="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133350</xdr:colOff>
      <xdr:row>52</xdr:row>
      <xdr:rowOff>57150</xdr:rowOff>
    </xdr:to>
    <xdr:sp macro="" textlink="">
      <xdr:nvSpPr>
        <xdr:cNvPr id="30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133200</xdr:colOff>
      <xdr:row>4</xdr:row>
      <xdr:rowOff>28440</xdr:rowOff>
    </xdr:from>
    <xdr:to>
      <xdr:col>0</xdr:col>
      <xdr:colOff>1418760</xdr:colOff>
      <xdr:row>6</xdr:row>
      <xdr:rowOff>28080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133200" y="799920"/>
          <a:ext cx="1285560" cy="361440"/>
        </a:xfrm>
        <a:prstGeom prst="rect">
          <a:avLst/>
        </a:prstGeom>
        <a:ln w="12600">
          <a:noFill/>
        </a:ln>
      </xdr:spPr>
    </xdr:pic>
    <xdr:clientData/>
  </xdr:twoCellAnchor>
  <xdr:twoCellAnchor editAs="oneCell">
    <xdr:from>
      <xdr:col>0</xdr:col>
      <xdr:colOff>85680</xdr:colOff>
      <xdr:row>7</xdr:row>
      <xdr:rowOff>9360</xdr:rowOff>
    </xdr:from>
    <xdr:to>
      <xdr:col>0</xdr:col>
      <xdr:colOff>2123640</xdr:colOff>
      <xdr:row>9</xdr:row>
      <xdr:rowOff>18720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5680" y="1323720"/>
          <a:ext cx="2037960" cy="371160"/>
        </a:xfrm>
        <a:prstGeom prst="rect">
          <a:avLst/>
        </a:prstGeom>
        <a:ln w="1260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76200</xdr:colOff>
      <xdr:row>52</xdr:row>
      <xdr:rowOff>9525</xdr:rowOff>
    </xdr:to>
    <xdr:sp macro="" textlink="">
      <xdr:nvSpPr>
        <xdr:cNvPr id="51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241"/>
  <sheetViews>
    <sheetView tabSelected="1" topLeftCell="A136" zoomScaleNormal="100" workbookViewId="0">
      <selection activeCell="A8" sqref="A8:F208"/>
    </sheetView>
  </sheetViews>
  <sheetFormatPr defaultRowHeight="11.25"/>
  <cols>
    <col min="1" max="1" width="30.625" style="105" customWidth="1"/>
    <col min="2" max="2" width="14.625" style="102" customWidth="1"/>
    <col min="3" max="3" width="12.125" style="102" customWidth="1"/>
    <col min="4" max="4" width="13.375" style="103" customWidth="1"/>
    <col min="5" max="5" width="14" style="103" customWidth="1"/>
    <col min="6" max="6" width="12" style="103" customWidth="1"/>
    <col min="7" max="7" width="25.625" style="104" customWidth="1"/>
    <col min="8" max="8" width="8.375" style="105" customWidth="1"/>
    <col min="9" max="9" width="13.25" style="105" customWidth="1"/>
    <col min="10" max="10" width="12.125" style="105" customWidth="1"/>
    <col min="11" max="1023" width="8.375" style="105" customWidth="1"/>
    <col min="1024" max="1025" width="8.875" style="105" customWidth="1"/>
    <col min="1026" max="16384" width="9" style="106"/>
  </cols>
  <sheetData>
    <row r="1" spans="1:7" hidden="1">
      <c r="A1" s="101" t="s">
        <v>0</v>
      </c>
    </row>
    <row r="2" spans="1:7" hidden="1">
      <c r="A2" s="107" t="s">
        <v>1</v>
      </c>
    </row>
    <row r="3" spans="1:7" s="111" customFormat="1" ht="15.6" hidden="1" customHeight="1">
      <c r="A3" s="105" t="s">
        <v>2</v>
      </c>
      <c r="B3" s="108"/>
      <c r="C3" s="109"/>
      <c r="D3" s="109"/>
      <c r="E3" s="109"/>
      <c r="F3" s="109"/>
      <c r="G3" s="110"/>
    </row>
    <row r="4" spans="1:7" s="111" customFormat="1" ht="15.6" hidden="1" customHeight="1">
      <c r="A4" s="107" t="s">
        <v>3</v>
      </c>
      <c r="B4" s="109"/>
      <c r="C4" s="109"/>
      <c r="D4" s="109"/>
      <c r="E4" s="109"/>
      <c r="F4" s="109"/>
      <c r="G4" s="110"/>
    </row>
    <row r="5" spans="1:7" s="111" customFormat="1" ht="15.6" hidden="1" customHeight="1">
      <c r="A5" s="105"/>
      <c r="B5" s="109"/>
      <c r="C5" s="109"/>
      <c r="D5" s="109"/>
      <c r="E5" s="109"/>
      <c r="F5" s="109"/>
      <c r="G5" s="110"/>
    </row>
    <row r="6" spans="1:7" s="111" customFormat="1" ht="15.6" hidden="1" customHeight="1">
      <c r="A6" s="105"/>
      <c r="B6" s="109"/>
      <c r="C6" s="109"/>
      <c r="D6" s="109"/>
      <c r="E6" s="109"/>
      <c r="F6" s="109"/>
      <c r="G6" s="110"/>
    </row>
    <row r="7" spans="1:7" s="111" customFormat="1" ht="76.5" customHeight="1">
      <c r="A7" s="112"/>
      <c r="B7" s="113"/>
      <c r="C7" s="113"/>
      <c r="D7" s="114"/>
      <c r="E7" s="114"/>
      <c r="F7" s="114"/>
      <c r="G7" s="110"/>
    </row>
    <row r="8" spans="1:7" s="105" customFormat="1" ht="26.25" customHeight="1">
      <c r="A8" s="191" t="s">
        <v>4</v>
      </c>
      <c r="B8" s="191"/>
      <c r="C8" s="191"/>
      <c r="D8" s="191"/>
      <c r="E8" s="191"/>
      <c r="F8" s="191"/>
      <c r="G8" s="104"/>
    </row>
    <row r="9" spans="1:7" s="105" customFormat="1" ht="21.75" customHeight="1">
      <c r="A9" s="192" t="s">
        <v>5</v>
      </c>
      <c r="B9" s="192"/>
      <c r="C9" s="192"/>
      <c r="D9" s="192"/>
      <c r="E9" s="192"/>
      <c r="F9" s="192"/>
      <c r="G9" s="104"/>
    </row>
    <row r="10" spans="1:7" s="111" customFormat="1" ht="10.9" customHeight="1">
      <c r="A10" s="115" t="s">
        <v>252</v>
      </c>
      <c r="B10" s="113"/>
      <c r="C10" s="113"/>
      <c r="D10" s="114"/>
      <c r="E10" s="114"/>
      <c r="F10" s="116"/>
      <c r="G10" s="110"/>
    </row>
    <row r="11" spans="1:7" s="111" customFormat="1" ht="15.75" customHeight="1">
      <c r="A11" s="193" t="s">
        <v>6</v>
      </c>
      <c r="B11" s="193"/>
      <c r="C11" s="193"/>
      <c r="D11" s="193"/>
      <c r="E11" s="193"/>
      <c r="F11" s="193"/>
      <c r="G11" s="110"/>
    </row>
    <row r="12" spans="1:7" s="111" customFormat="1" ht="15.75" customHeight="1">
      <c r="A12" s="117" t="s">
        <v>7</v>
      </c>
      <c r="B12" s="118"/>
      <c r="C12" s="118"/>
      <c r="D12" s="119"/>
      <c r="E12" s="120" t="s">
        <v>8</v>
      </c>
      <c r="F12" s="121" t="s">
        <v>9</v>
      </c>
      <c r="G12" s="110"/>
    </row>
    <row r="13" spans="1:7" s="101" customFormat="1" ht="15.75" customHeight="1">
      <c r="A13" s="122" t="str">
        <f>A42</f>
        <v>1. Mão-de-obra</v>
      </c>
      <c r="B13" s="123"/>
      <c r="C13" s="119"/>
      <c r="D13" s="119"/>
      <c r="E13" s="124">
        <f>+F152</f>
        <v>87968.696119999993</v>
      </c>
      <c r="F13" s="125">
        <f t="shared" ref="F13:F26" si="0">IFERROR(E13/$E$27,0)</f>
        <v>0.88160602119617071</v>
      </c>
      <c r="G13" s="126"/>
    </row>
    <row r="14" spans="1:7" s="111" customFormat="1" ht="15.75" customHeight="1">
      <c r="A14" s="127" t="str">
        <f>A44</f>
        <v>1.1. zeladoria</v>
      </c>
      <c r="B14" s="128"/>
      <c r="C14" s="118"/>
      <c r="D14" s="118"/>
      <c r="E14" s="129">
        <f>F56</f>
        <v>78033.496119999996</v>
      </c>
      <c r="F14" s="130">
        <f t="shared" si="0"/>
        <v>0.78203728222293478</v>
      </c>
      <c r="G14" s="110"/>
    </row>
    <row r="15" spans="1:7" s="111" customFormat="1" ht="15.75" hidden="1" customHeight="1">
      <c r="A15" s="127" t="str">
        <f>A58</f>
        <v>1.2. Reciclador</v>
      </c>
      <c r="B15" s="128"/>
      <c r="C15" s="118"/>
      <c r="D15" s="118"/>
      <c r="E15" s="129">
        <f>F75</f>
        <v>0</v>
      </c>
      <c r="F15" s="130">
        <f t="shared" si="0"/>
        <v>0</v>
      </c>
      <c r="G15" s="110"/>
    </row>
    <row r="16" spans="1:7" s="111" customFormat="1" ht="15.75" hidden="1" customHeight="1">
      <c r="A16" s="127" t="e">
        <f>#REF!</f>
        <v>#REF!</v>
      </c>
      <c r="B16" s="128"/>
      <c r="C16" s="118"/>
      <c r="D16" s="118"/>
      <c r="E16" s="129" t="e">
        <f>#REF!</f>
        <v>#REF!</v>
      </c>
      <c r="F16" s="130">
        <f t="shared" si="0"/>
        <v>0</v>
      </c>
      <c r="G16" s="110"/>
    </row>
    <row r="17" spans="1:7" s="111" customFormat="1" ht="15.75" hidden="1" customHeight="1">
      <c r="A17" s="127" t="str">
        <f>A78</f>
        <v>1.4. Motorista Carreta</v>
      </c>
      <c r="B17" s="128"/>
      <c r="C17" s="118"/>
      <c r="D17" s="118"/>
      <c r="E17" s="129">
        <f>F91</f>
        <v>0</v>
      </c>
      <c r="F17" s="130">
        <f t="shared" si="0"/>
        <v>0</v>
      </c>
      <c r="G17" s="110"/>
    </row>
    <row r="18" spans="1:7" s="111" customFormat="1" ht="15.75" hidden="1" customHeight="1">
      <c r="A18" s="127" t="str">
        <f>A93</f>
        <v>1.7. Responsavel Tecnico</v>
      </c>
      <c r="B18" s="128"/>
      <c r="C18" s="118"/>
      <c r="D18" s="118"/>
      <c r="E18" s="129">
        <f>F106</f>
        <v>0</v>
      </c>
      <c r="F18" s="130">
        <f t="shared" si="0"/>
        <v>0</v>
      </c>
      <c r="G18" s="110"/>
    </row>
    <row r="19" spans="1:7" s="111" customFormat="1" ht="15.75" hidden="1" customHeight="1">
      <c r="A19" s="127" t="str">
        <f>A108</f>
        <v>1.8. Tecnico de Segurança do Trabalho</v>
      </c>
      <c r="B19" s="128"/>
      <c r="C19" s="118"/>
      <c r="D19" s="118"/>
      <c r="E19" s="129">
        <f>F121</f>
        <v>0</v>
      </c>
      <c r="F19" s="130">
        <f t="shared" si="0"/>
        <v>0</v>
      </c>
      <c r="G19" s="110"/>
    </row>
    <row r="20" spans="1:7" s="111" customFormat="1" ht="15.75" hidden="1" customHeight="1">
      <c r="A20" s="127" t="str">
        <f>A124</f>
        <v>1.6. Vale Transporte</v>
      </c>
      <c r="B20" s="128"/>
      <c r="C20" s="118"/>
      <c r="D20" s="118"/>
      <c r="E20" s="129">
        <f>F132</f>
        <v>0</v>
      </c>
      <c r="F20" s="130">
        <f t="shared" si="0"/>
        <v>0</v>
      </c>
      <c r="G20" s="110"/>
    </row>
    <row r="21" spans="1:7" s="111" customFormat="1" ht="15.75" customHeight="1">
      <c r="A21" s="127" t="str">
        <f>A134</f>
        <v>1.4. Vale-refeição (diário)</v>
      </c>
      <c r="B21" s="128"/>
      <c r="C21" s="118"/>
      <c r="D21" s="118"/>
      <c r="E21" s="129">
        <f>F139</f>
        <v>8879.2000000000007</v>
      </c>
      <c r="F21" s="130">
        <f t="shared" si="0"/>
        <v>8.8985702058454477E-2</v>
      </c>
      <c r="G21" s="110"/>
    </row>
    <row r="22" spans="1:7" s="111" customFormat="1" ht="15.75" hidden="1" customHeight="1">
      <c r="A22" s="127" t="str">
        <f>A141</f>
        <v>1.11. Auxílio Alimentação (mensal)</v>
      </c>
      <c r="B22" s="128"/>
      <c r="C22" s="118"/>
      <c r="D22" s="118"/>
      <c r="E22" s="129" t="e">
        <f>F145</f>
        <v>#REF!</v>
      </c>
      <c r="F22" s="130">
        <f t="shared" si="0"/>
        <v>0</v>
      </c>
      <c r="G22" s="110"/>
    </row>
    <row r="23" spans="1:7" s="111" customFormat="1" ht="15.75" customHeight="1">
      <c r="A23" s="127" t="s">
        <v>10</v>
      </c>
      <c r="B23" s="128"/>
      <c r="C23" s="118"/>
      <c r="D23" s="118"/>
      <c r="E23" s="129">
        <f>F150</f>
        <v>1056</v>
      </c>
      <c r="F23" s="130">
        <f t="shared" si="0"/>
        <v>1.0583036914781503E-2</v>
      </c>
      <c r="G23" s="110"/>
    </row>
    <row r="24" spans="1:7" s="101" customFormat="1" ht="15.75" customHeight="1">
      <c r="A24" s="194" t="str">
        <f>A154</f>
        <v>2. Uniformes e Equipamentos de Proteção Individual</v>
      </c>
      <c r="B24" s="194"/>
      <c r="C24" s="194"/>
      <c r="D24" s="119"/>
      <c r="E24" s="124">
        <f>+F169</f>
        <v>373.33333333333326</v>
      </c>
      <c r="F24" s="125">
        <f t="shared" si="0"/>
        <v>3.741477697144975E-3</v>
      </c>
      <c r="G24" s="126"/>
    </row>
    <row r="25" spans="1:7" s="101" customFormat="1" ht="15.75" hidden="1" customHeight="1">
      <c r="A25" s="131" t="str">
        <f>A182</f>
        <v>6. Destinação Final</v>
      </c>
      <c r="B25" s="132"/>
      <c r="C25" s="119"/>
      <c r="D25" s="119"/>
      <c r="E25" s="124">
        <f>+F189</f>
        <v>0</v>
      </c>
      <c r="F25" s="125">
        <f t="shared" si="0"/>
        <v>0</v>
      </c>
      <c r="G25" s="126"/>
    </row>
    <row r="26" spans="1:7" s="101" customFormat="1" ht="15.75" customHeight="1">
      <c r="A26" s="131" t="str">
        <f>A194</f>
        <v>6. Benefícios e Despesas Indiretas - BDI</v>
      </c>
      <c r="B26" s="132"/>
      <c r="C26" s="119"/>
      <c r="D26" s="119"/>
      <c r="E26" s="124">
        <f>+F200</f>
        <v>11440.292814206667</v>
      </c>
      <c r="F26" s="125">
        <f t="shared" si="0"/>
        <v>0.11465250110668439</v>
      </c>
      <c r="G26" s="126"/>
    </row>
    <row r="27" spans="1:7" s="111" customFormat="1" ht="15.75" customHeight="1">
      <c r="A27" s="131" t="s">
        <v>11</v>
      </c>
      <c r="B27" s="132"/>
      <c r="C27" s="119"/>
      <c r="D27" s="119"/>
      <c r="E27" s="133">
        <f>E13+E24+E26+E25</f>
        <v>99782.322267539988</v>
      </c>
      <c r="F27" s="134">
        <f>F13+F24+F26+F25</f>
        <v>1</v>
      </c>
      <c r="G27" s="110"/>
    </row>
    <row r="28" spans="1:7">
      <c r="A28" s="112"/>
      <c r="B28" s="135"/>
      <c r="C28" s="135"/>
      <c r="D28" s="114"/>
      <c r="E28" s="114"/>
      <c r="F28" s="114"/>
    </row>
    <row r="29" spans="1:7" hidden="1">
      <c r="A29" s="112"/>
      <c r="B29" s="135"/>
      <c r="C29" s="135"/>
      <c r="D29" s="114"/>
      <c r="E29" s="114"/>
      <c r="F29" s="114"/>
    </row>
    <row r="30" spans="1:7" s="111" customFormat="1" ht="15" customHeight="1">
      <c r="A30" s="193" t="s">
        <v>12</v>
      </c>
      <c r="B30" s="193"/>
      <c r="C30" s="193"/>
      <c r="D30" s="193"/>
      <c r="E30" s="193"/>
      <c r="F30" s="114"/>
      <c r="G30" s="110"/>
    </row>
    <row r="31" spans="1:7" s="111" customFormat="1" ht="15" customHeight="1">
      <c r="A31" s="190" t="s">
        <v>13</v>
      </c>
      <c r="B31" s="190"/>
      <c r="C31" s="190"/>
      <c r="D31" s="190"/>
      <c r="E31" s="136" t="s">
        <v>14</v>
      </c>
      <c r="F31" s="114"/>
      <c r="G31" s="110"/>
    </row>
    <row r="32" spans="1:7" s="111" customFormat="1" ht="15" customHeight="1">
      <c r="A32" s="127" t="str">
        <f>+A44</f>
        <v>1.1. zeladoria</v>
      </c>
      <c r="B32" s="118"/>
      <c r="C32" s="118"/>
      <c r="D32" s="137"/>
      <c r="E32" s="138">
        <v>20</v>
      </c>
      <c r="F32" s="114"/>
      <c r="G32" s="110"/>
    </row>
    <row r="33" spans="1:7" s="111" customFormat="1" ht="15" hidden="1" customHeight="1">
      <c r="A33" s="127" t="str">
        <f>+A58</f>
        <v>1.2. Reciclador</v>
      </c>
      <c r="B33" s="118"/>
      <c r="C33" s="118"/>
      <c r="D33" s="137"/>
      <c r="E33" s="138">
        <f>C74</f>
        <v>0</v>
      </c>
      <c r="F33" s="114"/>
      <c r="G33" s="110"/>
    </row>
    <row r="34" spans="1:7" s="111" customFormat="1" ht="15" hidden="1" customHeight="1">
      <c r="A34" s="127" t="e">
        <f>+#REF!</f>
        <v>#REF!</v>
      </c>
      <c r="B34" s="118"/>
      <c r="C34" s="118"/>
      <c r="D34" s="137"/>
      <c r="E34" s="138" t="e">
        <f>#REF!</f>
        <v>#REF!</v>
      </c>
      <c r="F34" s="114"/>
      <c r="G34" s="110"/>
    </row>
    <row r="35" spans="1:7" s="111" customFormat="1" ht="15" hidden="1" customHeight="1">
      <c r="A35" s="127" t="str">
        <f>+A78</f>
        <v>1.4. Motorista Carreta</v>
      </c>
      <c r="B35" s="118"/>
      <c r="C35" s="118"/>
      <c r="D35" s="137"/>
      <c r="E35" s="138">
        <f>C90</f>
        <v>0</v>
      </c>
      <c r="F35" s="114"/>
      <c r="G35" s="110"/>
    </row>
    <row r="36" spans="1:7" s="111" customFormat="1" ht="15" hidden="1" customHeight="1">
      <c r="A36" s="127" t="str">
        <f>+A93</f>
        <v>1.7. Responsavel Tecnico</v>
      </c>
      <c r="B36" s="118"/>
      <c r="C36" s="118"/>
      <c r="D36" s="137"/>
      <c r="E36" s="138">
        <f>C105</f>
        <v>0</v>
      </c>
      <c r="F36" s="114"/>
      <c r="G36" s="110"/>
    </row>
    <row r="37" spans="1:7" s="111" customFormat="1" ht="15" hidden="1" customHeight="1">
      <c r="A37" s="127" t="str">
        <f>+A108</f>
        <v>1.8. Tecnico de Segurança do Trabalho</v>
      </c>
      <c r="B37" s="118"/>
      <c r="C37" s="118"/>
      <c r="D37" s="137"/>
      <c r="E37" s="138">
        <f>C120</f>
        <v>0</v>
      </c>
      <c r="F37" s="114"/>
      <c r="G37" s="110"/>
    </row>
    <row r="38" spans="1:7" s="111" customFormat="1" ht="15" customHeight="1">
      <c r="A38" s="139" t="s">
        <v>15</v>
      </c>
      <c r="B38" s="140"/>
      <c r="C38" s="140"/>
      <c r="D38" s="141"/>
      <c r="E38" s="142">
        <f>SUM(E32:E32)</f>
        <v>20</v>
      </c>
      <c r="F38" s="114"/>
      <c r="G38" s="110"/>
    </row>
    <row r="39" spans="1:7" s="111" customFormat="1">
      <c r="A39" s="143"/>
      <c r="B39" s="114"/>
      <c r="C39" s="114"/>
      <c r="D39" s="135"/>
      <c r="E39" s="144"/>
      <c r="F39" s="135"/>
      <c r="G39" s="110"/>
    </row>
    <row r="40" spans="1:7" s="101" customFormat="1" ht="15.75" customHeight="1">
      <c r="A40" s="122" t="s">
        <v>16</v>
      </c>
      <c r="B40" s="145">
        <v>1</v>
      </c>
      <c r="C40" s="146"/>
      <c r="D40" s="147"/>
      <c r="E40" s="148"/>
      <c r="F40" s="147"/>
      <c r="G40" s="126"/>
    </row>
    <row r="41" spans="1:7" s="111" customFormat="1" ht="15.75" customHeight="1">
      <c r="A41" s="143"/>
      <c r="B41" s="114"/>
      <c r="C41" s="114"/>
      <c r="D41" s="135"/>
      <c r="E41" s="144"/>
      <c r="F41" s="135"/>
      <c r="G41" s="110"/>
    </row>
    <row r="42" spans="1:7" ht="13.15" customHeight="1">
      <c r="A42" s="149" t="s">
        <v>17</v>
      </c>
      <c r="B42" s="135"/>
      <c r="C42" s="135"/>
      <c r="D42" s="114"/>
      <c r="E42" s="114"/>
      <c r="F42" s="114"/>
    </row>
    <row r="43" spans="1:7" ht="11.25" customHeight="1">
      <c r="A43" s="112"/>
      <c r="B43" s="135"/>
      <c r="C43" s="135"/>
      <c r="D43" s="114"/>
      <c r="E43" s="114"/>
      <c r="F43" s="114"/>
    </row>
    <row r="44" spans="1:7" ht="13.9" customHeight="1">
      <c r="A44" s="112" t="s">
        <v>18</v>
      </c>
      <c r="B44" s="135"/>
      <c r="C44" s="135"/>
      <c r="D44" s="114"/>
      <c r="E44" s="114"/>
      <c r="F44" s="114"/>
    </row>
    <row r="45" spans="1:7" ht="13.9" customHeight="1">
      <c r="A45" s="150" t="s">
        <v>19</v>
      </c>
      <c r="B45" s="151" t="s">
        <v>20</v>
      </c>
      <c r="C45" s="151" t="s">
        <v>14</v>
      </c>
      <c r="D45" s="121" t="s">
        <v>21</v>
      </c>
      <c r="E45" s="121" t="s">
        <v>22</v>
      </c>
      <c r="F45" s="121" t="s">
        <v>251</v>
      </c>
    </row>
    <row r="46" spans="1:7" ht="13.15" customHeight="1">
      <c r="A46" s="152" t="s">
        <v>23</v>
      </c>
      <c r="B46" s="153" t="s">
        <v>24</v>
      </c>
      <c r="C46" s="153">
        <v>1</v>
      </c>
      <c r="D46" s="154">
        <v>1601.35</v>
      </c>
      <c r="E46" s="154">
        <f>C46*D46</f>
        <v>1601.35</v>
      </c>
      <c r="F46" s="114"/>
    </row>
    <row r="47" spans="1:7" hidden="1">
      <c r="A47" s="155" t="s">
        <v>25</v>
      </c>
      <c r="B47" s="156" t="s">
        <v>26</v>
      </c>
      <c r="C47" s="157"/>
      <c r="D47" s="158">
        <f>D46/220*2</f>
        <v>14.557727272727272</v>
      </c>
      <c r="E47" s="158">
        <f>C47*D47</f>
        <v>0</v>
      </c>
      <c r="F47" s="114"/>
      <c r="G47" s="104" t="s">
        <v>27</v>
      </c>
    </row>
    <row r="48" spans="1:7" ht="13.15" hidden="1" customHeight="1">
      <c r="A48" s="155" t="s">
        <v>28</v>
      </c>
      <c r="B48" s="156" t="s">
        <v>26</v>
      </c>
      <c r="C48" s="157"/>
      <c r="D48" s="158">
        <f>D46/220*1.5</f>
        <v>10.918295454545454</v>
      </c>
      <c r="E48" s="158">
        <f>C48*D48</f>
        <v>0</v>
      </c>
      <c r="F48" s="114"/>
      <c r="G48" s="104" t="s">
        <v>29</v>
      </c>
    </row>
    <row r="49" spans="1:7" ht="13.15" hidden="1" customHeight="1">
      <c r="A49" s="155" t="s">
        <v>30</v>
      </c>
      <c r="B49" s="156" t="s">
        <v>31</v>
      </c>
      <c r="C49" s="135"/>
      <c r="D49" s="158">
        <f>63/302*(SUM(E47:E48))</f>
        <v>0</v>
      </c>
      <c r="E49" s="158">
        <f>D49</f>
        <v>0</v>
      </c>
      <c r="F49" s="114"/>
      <c r="G49" s="104" t="s">
        <v>32</v>
      </c>
    </row>
    <row r="50" spans="1:7">
      <c r="A50" s="155" t="s">
        <v>33</v>
      </c>
      <c r="B50" s="156" t="s">
        <v>9</v>
      </c>
      <c r="C50" s="156">
        <v>20</v>
      </c>
      <c r="D50" s="158">
        <f>SUM(E46:E49)</f>
        <v>1601.35</v>
      </c>
      <c r="E50" s="158">
        <f>C50*D50/100</f>
        <v>320.27</v>
      </c>
      <c r="F50" s="114"/>
    </row>
    <row r="51" spans="1:7">
      <c r="A51" s="159" t="s">
        <v>34</v>
      </c>
      <c r="B51" s="156" t="s">
        <v>35</v>
      </c>
      <c r="C51" s="156">
        <v>20</v>
      </c>
      <c r="D51" s="158">
        <v>17.32</v>
      </c>
      <c r="E51" s="158">
        <f>C51*D51</f>
        <v>346.4</v>
      </c>
      <c r="F51" s="114"/>
    </row>
    <row r="52" spans="1:7">
      <c r="A52" s="160" t="s">
        <v>36</v>
      </c>
      <c r="B52" s="161"/>
      <c r="C52" s="161"/>
      <c r="D52" s="162"/>
      <c r="E52" s="163">
        <f>SUM(E46:E51)</f>
        <v>2268.02</v>
      </c>
      <c r="F52" s="114"/>
    </row>
    <row r="53" spans="1:7">
      <c r="A53" s="155" t="s">
        <v>37</v>
      </c>
      <c r="B53" s="156" t="s">
        <v>9</v>
      </c>
      <c r="C53" s="158">
        <f>'2_Encargos_Sociais'!$C$34*100</f>
        <v>72.03</v>
      </c>
      <c r="D53" s="158">
        <f>E52</f>
        <v>2268.02</v>
      </c>
      <c r="E53" s="158">
        <f>D53*C53/100</f>
        <v>1633.654806</v>
      </c>
      <c r="F53" s="114"/>
    </row>
    <row r="54" spans="1:7">
      <c r="A54" s="160" t="s">
        <v>38</v>
      </c>
      <c r="B54" s="161"/>
      <c r="C54" s="161"/>
      <c r="D54" s="162"/>
      <c r="E54" s="164">
        <f>E52+E53</f>
        <v>3901.674806</v>
      </c>
      <c r="F54" s="114"/>
    </row>
    <row r="55" spans="1:7">
      <c r="A55" s="155" t="s">
        <v>39</v>
      </c>
      <c r="B55" s="156" t="s">
        <v>35</v>
      </c>
      <c r="C55" s="156">
        <v>20</v>
      </c>
      <c r="D55" s="158">
        <f>E54</f>
        <v>3901.674806</v>
      </c>
      <c r="E55" s="158">
        <f>C55*D55</f>
        <v>78033.496119999996</v>
      </c>
      <c r="F55" s="114"/>
      <c r="G55" s="110"/>
    </row>
    <row r="56" spans="1:7" ht="13.9" customHeight="1">
      <c r="A56" s="112"/>
      <c r="B56" s="135"/>
      <c r="C56" s="135"/>
      <c r="D56" s="165" t="s">
        <v>40</v>
      </c>
      <c r="E56" s="166">
        <f>$B$40</f>
        <v>1</v>
      </c>
      <c r="F56" s="167">
        <f>E55*E56</f>
        <v>78033.496119999996</v>
      </c>
      <c r="G56" s="110"/>
    </row>
    <row r="57" spans="1:7" ht="11.25" customHeight="1">
      <c r="A57" s="112"/>
      <c r="B57" s="135"/>
      <c r="C57" s="135"/>
      <c r="D57" s="114"/>
      <c r="E57" s="114"/>
      <c r="F57" s="114"/>
    </row>
    <row r="58" spans="1:7" hidden="1">
      <c r="A58" s="112" t="s">
        <v>41</v>
      </c>
      <c r="B58" s="135"/>
      <c r="C58" s="135"/>
      <c r="D58" s="114"/>
      <c r="E58" s="114"/>
      <c r="F58" s="114"/>
    </row>
    <row r="59" spans="1:7" hidden="1">
      <c r="A59" s="150" t="s">
        <v>19</v>
      </c>
      <c r="B59" s="151" t="s">
        <v>20</v>
      </c>
      <c r="C59" s="151" t="s">
        <v>14</v>
      </c>
      <c r="D59" s="121" t="s">
        <v>21</v>
      </c>
      <c r="E59" s="121" t="s">
        <v>22</v>
      </c>
      <c r="F59" s="121" t="s">
        <v>251</v>
      </c>
    </row>
    <row r="60" spans="1:7" hidden="1">
      <c r="A60" s="152" t="s">
        <v>23</v>
      </c>
      <c r="B60" s="153" t="s">
        <v>24</v>
      </c>
      <c r="C60" s="153">
        <v>1</v>
      </c>
      <c r="D60" s="154">
        <v>1278.2</v>
      </c>
      <c r="E60" s="154">
        <f>C60*D60</f>
        <v>1278.2</v>
      </c>
      <c r="F60" s="114"/>
    </row>
    <row r="61" spans="1:7" hidden="1">
      <c r="A61" s="155" t="s">
        <v>42</v>
      </c>
      <c r="B61" s="156" t="s">
        <v>43</v>
      </c>
      <c r="C61" s="157"/>
      <c r="D61" s="158"/>
      <c r="E61" s="158"/>
      <c r="F61" s="114"/>
    </row>
    <row r="62" spans="1:7" hidden="1">
      <c r="A62" s="155"/>
      <c r="B62" s="156" t="s">
        <v>44</v>
      </c>
      <c r="C62" s="168">
        <f>C61*8/7</f>
        <v>0</v>
      </c>
      <c r="D62" s="158">
        <f>D60/220*0.2</f>
        <v>1.1620000000000001</v>
      </c>
      <c r="E62" s="158">
        <f>C61*D62</f>
        <v>0</v>
      </c>
      <c r="F62" s="114"/>
    </row>
    <row r="63" spans="1:7" hidden="1">
      <c r="A63" s="155" t="s">
        <v>25</v>
      </c>
      <c r="B63" s="156" t="s">
        <v>26</v>
      </c>
      <c r="C63" s="157"/>
      <c r="D63" s="158">
        <f>D60/220*2</f>
        <v>11.620000000000001</v>
      </c>
      <c r="E63" s="158">
        <f>C63*D63</f>
        <v>0</v>
      </c>
      <c r="F63" s="114"/>
      <c r="G63" s="104" t="s">
        <v>27</v>
      </c>
    </row>
    <row r="64" spans="1:7" hidden="1">
      <c r="A64" s="155" t="s">
        <v>45</v>
      </c>
      <c r="B64" s="156" t="s">
        <v>43</v>
      </c>
      <c r="C64" s="157"/>
      <c r="D64" s="158"/>
      <c r="E64" s="158"/>
      <c r="F64" s="114"/>
      <c r="G64" s="104" t="s">
        <v>46</v>
      </c>
    </row>
    <row r="65" spans="1:7" hidden="1">
      <c r="A65" s="155"/>
      <c r="B65" s="156" t="s">
        <v>44</v>
      </c>
      <c r="C65" s="168">
        <f>C64*8/7</f>
        <v>0</v>
      </c>
      <c r="D65" s="158">
        <f>D60/220*2*1.2</f>
        <v>13.944000000000001</v>
      </c>
      <c r="E65" s="158">
        <f>C65*D65</f>
        <v>0</v>
      </c>
      <c r="F65" s="114"/>
      <c r="G65" s="104" t="s">
        <v>46</v>
      </c>
    </row>
    <row r="66" spans="1:7" hidden="1">
      <c r="A66" s="155" t="s">
        <v>28</v>
      </c>
      <c r="B66" s="156" t="s">
        <v>26</v>
      </c>
      <c r="C66" s="157"/>
      <c r="D66" s="158">
        <f>D60/220*1.5</f>
        <v>8.7149999999999999</v>
      </c>
      <c r="E66" s="158">
        <f>C66*D66</f>
        <v>0</v>
      </c>
      <c r="F66" s="114"/>
      <c r="G66" s="104" t="s">
        <v>29</v>
      </c>
    </row>
    <row r="67" spans="1:7" hidden="1">
      <c r="A67" s="155" t="s">
        <v>47</v>
      </c>
      <c r="B67" s="156" t="s">
        <v>43</v>
      </c>
      <c r="C67" s="157"/>
      <c r="D67" s="158"/>
      <c r="E67" s="158"/>
      <c r="F67" s="114"/>
      <c r="G67" s="104" t="s">
        <v>48</v>
      </c>
    </row>
    <row r="68" spans="1:7" hidden="1">
      <c r="A68" s="155"/>
      <c r="B68" s="156" t="s">
        <v>44</v>
      </c>
      <c r="C68" s="158">
        <f>C67*8/7</f>
        <v>0</v>
      </c>
      <c r="D68" s="158">
        <f>D60/220*1.5*1.2</f>
        <v>10.458</v>
      </c>
      <c r="E68" s="158">
        <f>C68*D68</f>
        <v>0</v>
      </c>
      <c r="F68" s="114"/>
      <c r="G68" s="104" t="s">
        <v>48</v>
      </c>
    </row>
    <row r="69" spans="1:7" ht="13.15" hidden="1" customHeight="1">
      <c r="A69" s="155" t="s">
        <v>30</v>
      </c>
      <c r="B69" s="156" t="s">
        <v>31</v>
      </c>
      <c r="C69" s="135"/>
      <c r="D69" s="158">
        <f>63/302*(SUM(E63:E68))</f>
        <v>0</v>
      </c>
      <c r="E69" s="158">
        <f>D69</f>
        <v>0</v>
      </c>
      <c r="F69" s="114"/>
      <c r="G69" s="104" t="s">
        <v>32</v>
      </c>
    </row>
    <row r="70" spans="1:7" hidden="1">
      <c r="A70" s="155" t="s">
        <v>33</v>
      </c>
      <c r="B70" s="156" t="s">
        <v>9</v>
      </c>
      <c r="C70" s="156">
        <f>+C50</f>
        <v>20</v>
      </c>
      <c r="D70" s="158">
        <f>SUM(E60:E69)</f>
        <v>1278.2</v>
      </c>
      <c r="E70" s="158">
        <f>C70*D70/100</f>
        <v>255.64</v>
      </c>
      <c r="F70" s="114"/>
    </row>
    <row r="71" spans="1:7" hidden="1">
      <c r="A71" s="160" t="s">
        <v>36</v>
      </c>
      <c r="B71" s="161"/>
      <c r="C71" s="161"/>
      <c r="D71" s="162"/>
      <c r="E71" s="164">
        <f>SUM(E60:E70)</f>
        <v>1533.8400000000001</v>
      </c>
      <c r="F71" s="114"/>
    </row>
    <row r="72" spans="1:7" hidden="1">
      <c r="A72" s="155" t="s">
        <v>37</v>
      </c>
      <c r="B72" s="156" t="s">
        <v>9</v>
      </c>
      <c r="C72" s="158">
        <f>'2_Encargos_Sociais'!$C$34*100</f>
        <v>72.03</v>
      </c>
      <c r="D72" s="158">
        <f>E71</f>
        <v>1533.8400000000001</v>
      </c>
      <c r="E72" s="158">
        <f>D72*C72/100</f>
        <v>1104.8249520000002</v>
      </c>
      <c r="F72" s="114"/>
    </row>
    <row r="73" spans="1:7" hidden="1">
      <c r="A73" s="160" t="s">
        <v>49</v>
      </c>
      <c r="B73" s="161"/>
      <c r="C73" s="161"/>
      <c r="D73" s="162"/>
      <c r="E73" s="164">
        <f>E71+E72</f>
        <v>2638.6649520000001</v>
      </c>
      <c r="F73" s="114"/>
    </row>
    <row r="74" spans="1:7" hidden="1">
      <c r="A74" s="155" t="s">
        <v>39</v>
      </c>
      <c r="B74" s="156" t="s">
        <v>35</v>
      </c>
      <c r="C74" s="156"/>
      <c r="D74" s="158">
        <f>E73</f>
        <v>2638.6649520000001</v>
      </c>
      <c r="E74" s="158">
        <f>C74*D74</f>
        <v>0</v>
      </c>
      <c r="F74" s="114"/>
    </row>
    <row r="75" spans="1:7" hidden="1">
      <c r="A75" s="112"/>
      <c r="B75" s="135"/>
      <c r="C75" s="135"/>
      <c r="D75" s="165" t="s">
        <v>40</v>
      </c>
      <c r="E75" s="166">
        <f>$B$40</f>
        <v>1</v>
      </c>
      <c r="F75" s="167">
        <f>E74*E75</f>
        <v>0</v>
      </c>
    </row>
    <row r="76" spans="1:7" ht="11.25" hidden="1" customHeight="1">
      <c r="A76" s="112"/>
      <c r="B76" s="135"/>
      <c r="C76" s="135"/>
      <c r="D76" s="114"/>
      <c r="E76" s="114"/>
      <c r="F76" s="114"/>
    </row>
    <row r="77" spans="1:7" hidden="1">
      <c r="A77" s="112"/>
      <c r="B77" s="135"/>
      <c r="C77" s="135"/>
      <c r="D77" s="165"/>
      <c r="E77" s="114"/>
      <c r="F77" s="162"/>
    </row>
    <row r="78" spans="1:7" hidden="1">
      <c r="A78" s="112" t="s">
        <v>54</v>
      </c>
      <c r="B78" s="135"/>
      <c r="C78" s="135"/>
      <c r="D78" s="114"/>
      <c r="E78" s="114"/>
      <c r="F78" s="114"/>
    </row>
    <row r="79" spans="1:7" hidden="1">
      <c r="A79" s="150" t="s">
        <v>19</v>
      </c>
      <c r="B79" s="151" t="s">
        <v>20</v>
      </c>
      <c r="C79" s="151" t="s">
        <v>14</v>
      </c>
      <c r="D79" s="121" t="s">
        <v>21</v>
      </c>
      <c r="E79" s="121" t="s">
        <v>22</v>
      </c>
      <c r="F79" s="121" t="s">
        <v>251</v>
      </c>
    </row>
    <row r="80" spans="1:7" hidden="1">
      <c r="A80" s="152" t="s">
        <v>52</v>
      </c>
      <c r="B80" s="153" t="s">
        <v>24</v>
      </c>
      <c r="C80" s="153">
        <v>1</v>
      </c>
      <c r="D80" s="154">
        <v>1797.4</v>
      </c>
      <c r="E80" s="154">
        <f>C80*D80</f>
        <v>1797.4</v>
      </c>
      <c r="F80" s="114"/>
    </row>
    <row r="81" spans="1:6" hidden="1">
      <c r="A81" s="152" t="s">
        <v>53</v>
      </c>
      <c r="B81" s="153" t="s">
        <v>24</v>
      </c>
      <c r="C81" s="153">
        <v>1</v>
      </c>
      <c r="D81" s="154">
        <v>954</v>
      </c>
      <c r="E81" s="154"/>
      <c r="F81" s="114"/>
    </row>
    <row r="82" spans="1:6" hidden="1">
      <c r="A82" s="155" t="s">
        <v>25</v>
      </c>
      <c r="B82" s="156" t="s">
        <v>26</v>
      </c>
      <c r="C82" s="157"/>
      <c r="D82" s="158">
        <f>D80/220*2</f>
        <v>16.34</v>
      </c>
      <c r="E82" s="158">
        <f>C82*D82</f>
        <v>0</v>
      </c>
      <c r="F82" s="114"/>
    </row>
    <row r="83" spans="1:6" hidden="1">
      <c r="A83" s="155" t="s">
        <v>28</v>
      </c>
      <c r="B83" s="156" t="s">
        <v>26</v>
      </c>
      <c r="C83" s="157"/>
      <c r="D83" s="158">
        <f>D80/220*1.5</f>
        <v>12.254999999999999</v>
      </c>
      <c r="E83" s="158">
        <f>C83*D83</f>
        <v>0</v>
      </c>
      <c r="F83" s="114"/>
    </row>
    <row r="84" spans="1:6" hidden="1">
      <c r="A84" s="155" t="s">
        <v>30</v>
      </c>
      <c r="B84" s="156" t="s">
        <v>31</v>
      </c>
      <c r="C84" s="135"/>
      <c r="D84" s="158">
        <f>63/302*(SUM(E82:E83))</f>
        <v>0</v>
      </c>
      <c r="E84" s="158">
        <f>D84</f>
        <v>0</v>
      </c>
      <c r="F84" s="114"/>
    </row>
    <row r="85" spans="1:6" hidden="1">
      <c r="A85" s="155" t="s">
        <v>50</v>
      </c>
      <c r="B85" s="156"/>
      <c r="C85" s="169">
        <v>1</v>
      </c>
      <c r="D85" s="158"/>
      <c r="E85" s="158"/>
      <c r="F85" s="114"/>
    </row>
    <row r="86" spans="1:6" hidden="1">
      <c r="A86" s="155" t="s">
        <v>33</v>
      </c>
      <c r="B86" s="156" t="s">
        <v>9</v>
      </c>
      <c r="C86" s="156">
        <v>20</v>
      </c>
      <c r="D86" s="158">
        <f>IF(C85=2,SUM(E80:E84),IF(C85=1,(SUM(E80:E84))*D81/D80,0))</f>
        <v>954</v>
      </c>
      <c r="E86" s="158">
        <f>C86*D86/100</f>
        <v>190.8</v>
      </c>
      <c r="F86" s="114"/>
    </row>
    <row r="87" spans="1:6" hidden="1">
      <c r="A87" s="170" t="s">
        <v>36</v>
      </c>
      <c r="B87" s="161"/>
      <c r="C87" s="161"/>
      <c r="D87" s="162"/>
      <c r="E87" s="121">
        <f>SUM(E80:E86)</f>
        <v>1988.2</v>
      </c>
      <c r="F87" s="146"/>
    </row>
    <row r="88" spans="1:6" hidden="1">
      <c r="A88" s="155" t="s">
        <v>37</v>
      </c>
      <c r="B88" s="156" t="s">
        <v>9</v>
      </c>
      <c r="C88" s="158">
        <f>'2_Encargos_Sociais'!$C$34*100</f>
        <v>72.03</v>
      </c>
      <c r="D88" s="158">
        <f>E87</f>
        <v>1988.2</v>
      </c>
      <c r="E88" s="158">
        <f>D88*C88/100</f>
        <v>1432.1004600000001</v>
      </c>
      <c r="F88" s="114"/>
    </row>
    <row r="89" spans="1:6" hidden="1">
      <c r="A89" s="170" t="s">
        <v>51</v>
      </c>
      <c r="B89" s="171"/>
      <c r="C89" s="171"/>
      <c r="D89" s="172"/>
      <c r="E89" s="121">
        <f>E87+E88</f>
        <v>3420.3004600000004</v>
      </c>
      <c r="F89" s="146"/>
    </row>
    <row r="90" spans="1:6" hidden="1">
      <c r="A90" s="155" t="s">
        <v>39</v>
      </c>
      <c r="B90" s="156" t="s">
        <v>35</v>
      </c>
      <c r="C90" s="156"/>
      <c r="D90" s="158">
        <f>E89</f>
        <v>3420.3004600000004</v>
      </c>
      <c r="E90" s="158">
        <f>C90*D90</f>
        <v>0</v>
      </c>
      <c r="F90" s="114"/>
    </row>
    <row r="91" spans="1:6" hidden="1">
      <c r="A91" s="112"/>
      <c r="B91" s="135"/>
      <c r="C91" s="135"/>
      <c r="D91" s="165" t="s">
        <v>40</v>
      </c>
      <c r="E91" s="166">
        <v>1</v>
      </c>
      <c r="F91" s="167">
        <f>E90*E91</f>
        <v>0</v>
      </c>
    </row>
    <row r="92" spans="1:6" hidden="1">
      <c r="A92" s="112"/>
      <c r="B92" s="135"/>
      <c r="C92" s="135"/>
      <c r="D92" s="165"/>
      <c r="E92" s="114"/>
      <c r="F92" s="162"/>
    </row>
    <row r="93" spans="1:6" hidden="1">
      <c r="A93" s="112" t="s">
        <v>55</v>
      </c>
      <c r="B93" s="135"/>
      <c r="C93" s="135"/>
      <c r="D93" s="114"/>
      <c r="E93" s="114"/>
      <c r="F93" s="114"/>
    </row>
    <row r="94" spans="1:6" hidden="1">
      <c r="A94" s="150" t="s">
        <v>19</v>
      </c>
      <c r="B94" s="151" t="s">
        <v>20</v>
      </c>
      <c r="C94" s="151" t="s">
        <v>14</v>
      </c>
      <c r="D94" s="121" t="s">
        <v>21</v>
      </c>
      <c r="E94" s="121" t="s">
        <v>22</v>
      </c>
      <c r="F94" s="121" t="s">
        <v>251</v>
      </c>
    </row>
    <row r="95" spans="1:6" hidden="1">
      <c r="A95" s="152" t="s">
        <v>52</v>
      </c>
      <c r="B95" s="153" t="s">
        <v>24</v>
      </c>
      <c r="C95" s="153">
        <v>1</v>
      </c>
      <c r="D95" s="154">
        <v>3500</v>
      </c>
      <c r="E95" s="154">
        <f>C95*D95</f>
        <v>3500</v>
      </c>
      <c r="F95" s="114"/>
    </row>
    <row r="96" spans="1:6" hidden="1">
      <c r="A96" s="152" t="s">
        <v>53</v>
      </c>
      <c r="B96" s="153" t="s">
        <v>24</v>
      </c>
      <c r="C96" s="153">
        <v>1</v>
      </c>
      <c r="D96" s="154"/>
      <c r="E96" s="154"/>
      <c r="F96" s="114"/>
    </row>
    <row r="97" spans="1:6" hidden="1">
      <c r="A97" s="155" t="s">
        <v>25</v>
      </c>
      <c r="B97" s="156" t="s">
        <v>26</v>
      </c>
      <c r="C97" s="157"/>
      <c r="D97" s="158">
        <f>D95/220*2</f>
        <v>31.818181818181817</v>
      </c>
      <c r="E97" s="158">
        <f>C97*D97</f>
        <v>0</v>
      </c>
      <c r="F97" s="114"/>
    </row>
    <row r="98" spans="1:6" hidden="1">
      <c r="A98" s="155" t="s">
        <v>28</v>
      </c>
      <c r="B98" s="156" t="s">
        <v>26</v>
      </c>
      <c r="C98" s="157"/>
      <c r="D98" s="158">
        <f>D95/220*1.5</f>
        <v>23.863636363636363</v>
      </c>
      <c r="E98" s="158">
        <f>C98*D98</f>
        <v>0</v>
      </c>
      <c r="F98" s="114"/>
    </row>
    <row r="99" spans="1:6" hidden="1">
      <c r="A99" s="155" t="s">
        <v>30</v>
      </c>
      <c r="B99" s="156" t="s">
        <v>31</v>
      </c>
      <c r="C99" s="135"/>
      <c r="D99" s="158">
        <f>63/302*(SUM(E97:E98))</f>
        <v>0</v>
      </c>
      <c r="E99" s="158">
        <f>D99</f>
        <v>0</v>
      </c>
      <c r="F99" s="114"/>
    </row>
    <row r="100" spans="1:6" hidden="1">
      <c r="A100" s="155" t="s">
        <v>50</v>
      </c>
      <c r="B100" s="156"/>
      <c r="C100" s="169">
        <v>1</v>
      </c>
      <c r="D100" s="158"/>
      <c r="E100" s="158"/>
      <c r="F100" s="114"/>
    </row>
    <row r="101" spans="1:6" hidden="1">
      <c r="A101" s="155" t="s">
        <v>33</v>
      </c>
      <c r="B101" s="156" t="s">
        <v>9</v>
      </c>
      <c r="C101" s="156">
        <v>20</v>
      </c>
      <c r="D101" s="158">
        <f>IF(C100=2,SUM(E95:E99),IF(C100=1,(SUM(E95:E99))*D96/D95,0))</f>
        <v>0</v>
      </c>
      <c r="E101" s="158">
        <f>C101*D101/100</f>
        <v>0</v>
      </c>
      <c r="F101" s="114"/>
    </row>
    <row r="102" spans="1:6" hidden="1">
      <c r="A102" s="170" t="s">
        <v>36</v>
      </c>
      <c r="B102" s="161"/>
      <c r="C102" s="161"/>
      <c r="D102" s="162"/>
      <c r="E102" s="121">
        <f>SUM(E95:E101)</f>
        <v>3500</v>
      </c>
      <c r="F102" s="146"/>
    </row>
    <row r="103" spans="1:6" hidden="1">
      <c r="A103" s="155" t="s">
        <v>37</v>
      </c>
      <c r="B103" s="156" t="s">
        <v>9</v>
      </c>
      <c r="C103" s="158">
        <f>'2_Encargos_Sociais'!$C$34*100</f>
        <v>72.03</v>
      </c>
      <c r="D103" s="158">
        <f>E102</f>
        <v>3500</v>
      </c>
      <c r="E103" s="158">
        <f>D103*C103/100</f>
        <v>2521.0500000000002</v>
      </c>
      <c r="F103" s="114"/>
    </row>
    <row r="104" spans="1:6" hidden="1">
      <c r="A104" s="170" t="s">
        <v>51</v>
      </c>
      <c r="B104" s="171"/>
      <c r="C104" s="171"/>
      <c r="D104" s="172"/>
      <c r="E104" s="121">
        <f>E102+E103</f>
        <v>6021.05</v>
      </c>
      <c r="F104" s="146"/>
    </row>
    <row r="105" spans="1:6" hidden="1">
      <c r="A105" s="155" t="s">
        <v>39</v>
      </c>
      <c r="B105" s="156" t="s">
        <v>35</v>
      </c>
      <c r="C105" s="156"/>
      <c r="D105" s="158">
        <f>E104</f>
        <v>6021.05</v>
      </c>
      <c r="E105" s="158">
        <f>C105*D105</f>
        <v>0</v>
      </c>
      <c r="F105" s="114"/>
    </row>
    <row r="106" spans="1:6" hidden="1">
      <c r="A106" s="112"/>
      <c r="B106" s="135"/>
      <c r="C106" s="135"/>
      <c r="D106" s="165" t="s">
        <v>40</v>
      </c>
      <c r="E106" s="166">
        <v>0.33</v>
      </c>
      <c r="F106" s="167">
        <f>E105*E106</f>
        <v>0</v>
      </c>
    </row>
    <row r="107" spans="1:6" hidden="1">
      <c r="A107" s="112"/>
      <c r="B107" s="135"/>
      <c r="C107" s="135"/>
      <c r="D107" s="165"/>
      <c r="E107" s="114"/>
      <c r="F107" s="162"/>
    </row>
    <row r="108" spans="1:6" hidden="1">
      <c r="A108" s="112" t="s">
        <v>56</v>
      </c>
      <c r="B108" s="135"/>
      <c r="C108" s="135"/>
      <c r="D108" s="114"/>
      <c r="E108" s="114"/>
      <c r="F108" s="114"/>
    </row>
    <row r="109" spans="1:6" hidden="1">
      <c r="A109" s="150" t="s">
        <v>19</v>
      </c>
      <c r="B109" s="151" t="s">
        <v>20</v>
      </c>
      <c r="C109" s="151" t="s">
        <v>14</v>
      </c>
      <c r="D109" s="121" t="s">
        <v>21</v>
      </c>
      <c r="E109" s="121" t="s">
        <v>22</v>
      </c>
      <c r="F109" s="121" t="s">
        <v>251</v>
      </c>
    </row>
    <row r="110" spans="1:6" hidden="1">
      <c r="A110" s="152" t="s">
        <v>52</v>
      </c>
      <c r="B110" s="153" t="s">
        <v>24</v>
      </c>
      <c r="C110" s="153">
        <v>1</v>
      </c>
      <c r="D110" s="154">
        <v>2000</v>
      </c>
      <c r="E110" s="154">
        <f>C110*D110</f>
        <v>2000</v>
      </c>
      <c r="F110" s="114"/>
    </row>
    <row r="111" spans="1:6" hidden="1">
      <c r="A111" s="152" t="s">
        <v>53</v>
      </c>
      <c r="B111" s="153" t="s">
        <v>24</v>
      </c>
      <c r="C111" s="153">
        <v>1</v>
      </c>
      <c r="D111" s="154"/>
      <c r="E111" s="154"/>
      <c r="F111" s="114"/>
    </row>
    <row r="112" spans="1:6" hidden="1">
      <c r="A112" s="155" t="s">
        <v>25</v>
      </c>
      <c r="B112" s="156" t="s">
        <v>26</v>
      </c>
      <c r="C112" s="157"/>
      <c r="D112" s="158">
        <f>D110/220*2</f>
        <v>18.181818181818183</v>
      </c>
      <c r="E112" s="158">
        <f>C112*D112</f>
        <v>0</v>
      </c>
      <c r="F112" s="114"/>
    </row>
    <row r="113" spans="1:6" hidden="1">
      <c r="A113" s="155" t="s">
        <v>28</v>
      </c>
      <c r="B113" s="156" t="s">
        <v>26</v>
      </c>
      <c r="C113" s="157"/>
      <c r="D113" s="158">
        <f>D110/220*1.5</f>
        <v>13.636363636363637</v>
      </c>
      <c r="E113" s="158">
        <f>C113*D113</f>
        <v>0</v>
      </c>
      <c r="F113" s="114"/>
    </row>
    <row r="114" spans="1:6" hidden="1">
      <c r="A114" s="155" t="s">
        <v>30</v>
      </c>
      <c r="B114" s="156" t="s">
        <v>31</v>
      </c>
      <c r="C114" s="135"/>
      <c r="D114" s="158">
        <f>63/302*(SUM(E112:E113))</f>
        <v>0</v>
      </c>
      <c r="E114" s="158">
        <f>D114</f>
        <v>0</v>
      </c>
      <c r="F114" s="114"/>
    </row>
    <row r="115" spans="1:6" hidden="1">
      <c r="A115" s="155" t="s">
        <v>50</v>
      </c>
      <c r="B115" s="156"/>
      <c r="C115" s="169">
        <v>1</v>
      </c>
      <c r="D115" s="158"/>
      <c r="E115" s="158"/>
      <c r="F115" s="114"/>
    </row>
    <row r="116" spans="1:6" hidden="1">
      <c r="A116" s="155" t="s">
        <v>33</v>
      </c>
      <c r="B116" s="156" t="s">
        <v>9</v>
      </c>
      <c r="C116" s="156">
        <v>20</v>
      </c>
      <c r="D116" s="158">
        <f>IF(C115=2,SUM(E110:E114),IF(C115=1,(SUM(E110:E114))*D111/D110,0))</f>
        <v>0</v>
      </c>
      <c r="E116" s="158">
        <f>C116*D116/100</f>
        <v>0</v>
      </c>
      <c r="F116" s="114"/>
    </row>
    <row r="117" spans="1:6" hidden="1">
      <c r="A117" s="170" t="s">
        <v>36</v>
      </c>
      <c r="B117" s="161"/>
      <c r="C117" s="161"/>
      <c r="D117" s="162"/>
      <c r="E117" s="121">
        <f>SUM(E110:E116)</f>
        <v>2000</v>
      </c>
      <c r="F117" s="146"/>
    </row>
    <row r="118" spans="1:6" hidden="1">
      <c r="A118" s="155" t="s">
        <v>37</v>
      </c>
      <c r="B118" s="156" t="s">
        <v>9</v>
      </c>
      <c r="C118" s="158">
        <f>'2_Encargos_Sociais'!$C$34*100</f>
        <v>72.03</v>
      </c>
      <c r="D118" s="158">
        <f>E117</f>
        <v>2000</v>
      </c>
      <c r="E118" s="158">
        <f>D118*C118/100</f>
        <v>1440.6</v>
      </c>
      <c r="F118" s="114"/>
    </row>
    <row r="119" spans="1:6" hidden="1">
      <c r="A119" s="170" t="s">
        <v>51</v>
      </c>
      <c r="B119" s="171"/>
      <c r="C119" s="171"/>
      <c r="D119" s="172"/>
      <c r="E119" s="121">
        <f>E117+E118</f>
        <v>3440.6</v>
      </c>
      <c r="F119" s="146"/>
    </row>
    <row r="120" spans="1:6" hidden="1">
      <c r="A120" s="155" t="s">
        <v>39</v>
      </c>
      <c r="B120" s="156" t="s">
        <v>35</v>
      </c>
      <c r="C120" s="156"/>
      <c r="D120" s="158">
        <f>E119</f>
        <v>3440.6</v>
      </c>
      <c r="E120" s="158">
        <f>C120*D120</f>
        <v>0</v>
      </c>
      <c r="F120" s="114"/>
    </row>
    <row r="121" spans="1:6" hidden="1">
      <c r="A121" s="112"/>
      <c r="B121" s="135"/>
      <c r="C121" s="135"/>
      <c r="D121" s="165" t="s">
        <v>40</v>
      </c>
      <c r="E121" s="166">
        <v>0.33</v>
      </c>
      <c r="F121" s="167">
        <f>E120*E121</f>
        <v>0</v>
      </c>
    </row>
    <row r="122" spans="1:6" hidden="1">
      <c r="A122" s="112"/>
      <c r="B122" s="135"/>
      <c r="C122" s="135"/>
      <c r="D122" s="165"/>
      <c r="E122" s="114"/>
      <c r="F122" s="162"/>
    </row>
    <row r="123" spans="1:6" s="105" customFormat="1" ht="11.25" hidden="1" customHeight="1">
      <c r="A123" s="112"/>
      <c r="B123" s="135"/>
      <c r="C123" s="135"/>
      <c r="D123" s="114"/>
      <c r="E123" s="114"/>
      <c r="F123" s="114"/>
    </row>
    <row r="124" spans="1:6" s="105" customFormat="1" hidden="1">
      <c r="A124" s="112" t="s">
        <v>57</v>
      </c>
      <c r="B124" s="173"/>
      <c r="C124" s="135"/>
      <c r="D124" s="135"/>
      <c r="E124" s="135"/>
      <c r="F124" s="114"/>
    </row>
    <row r="125" spans="1:6" s="105" customFormat="1" hidden="1">
      <c r="A125" s="150" t="s">
        <v>19</v>
      </c>
      <c r="B125" s="151" t="s">
        <v>20</v>
      </c>
      <c r="C125" s="151" t="s">
        <v>14</v>
      </c>
      <c r="D125" s="121" t="s">
        <v>21</v>
      </c>
      <c r="E125" s="121" t="s">
        <v>22</v>
      </c>
      <c r="F125" s="121" t="s">
        <v>251</v>
      </c>
    </row>
    <row r="126" spans="1:6" s="105" customFormat="1" hidden="1">
      <c r="A126" s="155" t="s">
        <v>58</v>
      </c>
      <c r="B126" s="156" t="s">
        <v>31</v>
      </c>
      <c r="C126" s="174">
        <v>1</v>
      </c>
      <c r="D126" s="114">
        <v>3.5</v>
      </c>
      <c r="E126" s="158"/>
      <c r="F126" s="114"/>
    </row>
    <row r="127" spans="1:6" s="105" customFormat="1" hidden="1">
      <c r="A127" s="155" t="s">
        <v>59</v>
      </c>
      <c r="B127" s="156" t="s">
        <v>60</v>
      </c>
      <c r="C127" s="135"/>
      <c r="D127" s="158"/>
      <c r="E127" s="158"/>
      <c r="F127" s="114"/>
    </row>
    <row r="128" spans="1:6" s="105" customFormat="1" hidden="1">
      <c r="A128" s="155" t="s">
        <v>61</v>
      </c>
      <c r="B128" s="156" t="s">
        <v>62</v>
      </c>
      <c r="C128" s="175">
        <f>$C$127*2*(C55+C74)</f>
        <v>0</v>
      </c>
      <c r="D128" s="154" t="str">
        <f>IFERROR((($C$127*2*$D$126)-(E46*0.06))/($C$127*2),"-")</f>
        <v>-</v>
      </c>
      <c r="E128" s="158" t="str">
        <f>IFERROR(C128*D128,"-")</f>
        <v>-</v>
      </c>
      <c r="F128" s="114"/>
    </row>
    <row r="129" spans="1:6" s="105" customFormat="1" hidden="1">
      <c r="A129" s="152" t="s">
        <v>63</v>
      </c>
      <c r="B129" s="153" t="s">
        <v>62</v>
      </c>
      <c r="C129" s="175" t="e">
        <f>$C$127*2*(#REF!+#REF!)</f>
        <v>#REF!</v>
      </c>
      <c r="D129" s="154" t="str">
        <f>IFERROR((($C$127*2*$D$126)-(#REF!*0.06))/($C$127*2),"-")</f>
        <v>-</v>
      </c>
      <c r="E129" s="154" t="str">
        <f>IFERROR(C129*D129,"-")</f>
        <v>-</v>
      </c>
      <c r="F129" s="114"/>
    </row>
    <row r="130" spans="1:6" s="105" customFormat="1" hidden="1">
      <c r="A130" s="152" t="s">
        <v>64</v>
      </c>
      <c r="B130" s="153" t="s">
        <v>62</v>
      </c>
      <c r="C130" s="175">
        <v>13</v>
      </c>
      <c r="D130" s="154" t="str">
        <f>IFERROR((($C$127*2*$D$126)-(E80*0.06))/($C$127*2),"-")</f>
        <v>-</v>
      </c>
      <c r="E130" s="154" t="str">
        <f>IFERROR(C130*D130,"-")</f>
        <v>-</v>
      </c>
      <c r="F130" s="114"/>
    </row>
    <row r="131" spans="1:6" s="105" customFormat="1" hidden="1">
      <c r="A131" s="152" t="s">
        <v>65</v>
      </c>
      <c r="B131" s="153" t="s">
        <v>62</v>
      </c>
      <c r="C131" s="175"/>
      <c r="D131" s="154" t="str">
        <f>IFERROR((($C$127*2*$D$126)-(E110*0.06))/($C$127*2),"-")</f>
        <v>-</v>
      </c>
      <c r="E131" s="154" t="str">
        <f>IFERROR(C131*D131,"-")</f>
        <v>-</v>
      </c>
      <c r="F131" s="114"/>
    </row>
    <row r="132" spans="1:6" s="105" customFormat="1" hidden="1">
      <c r="A132" s="112"/>
      <c r="B132" s="135"/>
      <c r="C132" s="135"/>
      <c r="D132" s="114"/>
      <c r="E132" s="114"/>
      <c r="F132" s="176">
        <f>SUM(E128:E131)</f>
        <v>0</v>
      </c>
    </row>
    <row r="133" spans="1:6" s="105" customFormat="1" ht="11.25" customHeight="1">
      <c r="A133" s="112"/>
      <c r="B133" s="135"/>
      <c r="C133" s="135"/>
      <c r="D133" s="114"/>
      <c r="E133" s="114"/>
      <c r="F133" s="114"/>
    </row>
    <row r="134" spans="1:6" s="105" customFormat="1">
      <c r="A134" s="112" t="s">
        <v>66</v>
      </c>
      <c r="B134" s="135"/>
      <c r="C134" s="135"/>
      <c r="D134" s="114"/>
      <c r="E134" s="114"/>
      <c r="F134" s="146"/>
    </row>
    <row r="135" spans="1:6" s="105" customFormat="1">
      <c r="A135" s="150" t="s">
        <v>19</v>
      </c>
      <c r="B135" s="151" t="s">
        <v>20</v>
      </c>
      <c r="C135" s="151" t="s">
        <v>14</v>
      </c>
      <c r="D135" s="121" t="s">
        <v>21</v>
      </c>
      <c r="E135" s="121" t="s">
        <v>22</v>
      </c>
      <c r="F135" s="121" t="s">
        <v>251</v>
      </c>
    </row>
    <row r="136" spans="1:6" s="105" customFormat="1">
      <c r="A136" s="155" t="str">
        <f>+A44</f>
        <v>1.1. zeladoria</v>
      </c>
      <c r="B136" s="156" t="s">
        <v>67</v>
      </c>
      <c r="C136" s="175">
        <v>440</v>
      </c>
      <c r="D136" s="158">
        <v>20.18</v>
      </c>
      <c r="E136" s="166">
        <f>C136*D136</f>
        <v>8879.2000000000007</v>
      </c>
      <c r="F136" s="146"/>
    </row>
    <row r="137" spans="1:6" s="105" customFormat="1" hidden="1">
      <c r="A137" s="155" t="s">
        <v>68</v>
      </c>
      <c r="B137" s="156" t="s">
        <v>67</v>
      </c>
      <c r="C137" s="175"/>
      <c r="D137" s="158">
        <v>16.73</v>
      </c>
      <c r="E137" s="166">
        <f>C137*D137</f>
        <v>0</v>
      </c>
      <c r="F137" s="146"/>
    </row>
    <row r="138" spans="1:6" s="105" customFormat="1" hidden="1">
      <c r="A138" s="155" t="s">
        <v>69</v>
      </c>
      <c r="B138" s="156" t="s">
        <v>67</v>
      </c>
      <c r="C138" s="175"/>
      <c r="D138" s="158">
        <v>16</v>
      </c>
      <c r="E138" s="166">
        <f>C138*D138</f>
        <v>0</v>
      </c>
      <c r="F138" s="146"/>
    </row>
    <row r="139" spans="1:6" s="105" customFormat="1">
      <c r="A139" s="112"/>
      <c r="B139" s="135"/>
      <c r="C139" s="135"/>
      <c r="D139" s="114"/>
      <c r="E139" s="114"/>
      <c r="F139" s="176">
        <f>SUM(E136:E138)</f>
        <v>8879.2000000000007</v>
      </c>
    </row>
    <row r="140" spans="1:6" s="105" customFormat="1" hidden="1">
      <c r="A140" s="112"/>
      <c r="B140" s="135"/>
      <c r="C140" s="135"/>
      <c r="D140" s="114"/>
      <c r="E140" s="114"/>
      <c r="F140" s="114"/>
    </row>
    <row r="141" spans="1:6" s="105" customFormat="1" hidden="1">
      <c r="A141" s="112" t="s">
        <v>70</v>
      </c>
      <c r="B141" s="135"/>
      <c r="C141" s="135"/>
      <c r="D141" s="114"/>
      <c r="E141" s="114"/>
      <c r="F141" s="146"/>
    </row>
    <row r="142" spans="1:6" s="105" customFormat="1" hidden="1">
      <c r="A142" s="150" t="s">
        <v>19</v>
      </c>
      <c r="B142" s="151" t="s">
        <v>20</v>
      </c>
      <c r="C142" s="151" t="s">
        <v>14</v>
      </c>
      <c r="D142" s="121" t="s">
        <v>21</v>
      </c>
      <c r="E142" s="121" t="s">
        <v>22</v>
      </c>
      <c r="F142" s="121" t="s">
        <v>251</v>
      </c>
    </row>
    <row r="143" spans="1:6" s="105" customFormat="1" hidden="1">
      <c r="A143" s="155" t="str">
        <f>+A136</f>
        <v>1.1. zeladoria</v>
      </c>
      <c r="B143" s="156" t="s">
        <v>67</v>
      </c>
      <c r="C143" s="175">
        <f>E32+E33</f>
        <v>20</v>
      </c>
      <c r="D143" s="158"/>
      <c r="E143" s="166">
        <f>C143*D143</f>
        <v>0</v>
      </c>
      <c r="F143" s="146"/>
    </row>
    <row r="144" spans="1:6" s="105" customFormat="1" hidden="1">
      <c r="A144" s="155" t="e">
        <f>+#REF!</f>
        <v>#REF!</v>
      </c>
      <c r="B144" s="156" t="s">
        <v>67</v>
      </c>
      <c r="C144" s="175" t="e">
        <f>#REF!+E34</f>
        <v>#REF!</v>
      </c>
      <c r="D144" s="158"/>
      <c r="E144" s="166" t="e">
        <f>C144*D144</f>
        <v>#REF!</v>
      </c>
      <c r="F144" s="146"/>
    </row>
    <row r="145" spans="1:6" s="105" customFormat="1" hidden="1">
      <c r="A145" s="112"/>
      <c r="B145" s="135"/>
      <c r="C145" s="135"/>
      <c r="D145" s="165" t="s">
        <v>40</v>
      </c>
      <c r="E145" s="166">
        <f>$B$40</f>
        <v>1</v>
      </c>
      <c r="F145" s="176" t="e">
        <f>SUM(E143:E144)*E145</f>
        <v>#REF!</v>
      </c>
    </row>
    <row r="146" spans="1:6" s="105" customFormat="1">
      <c r="A146" s="112"/>
      <c r="B146" s="135"/>
      <c r="C146" s="135"/>
      <c r="D146" s="165"/>
      <c r="E146" s="114"/>
      <c r="F146" s="146"/>
    </row>
    <row r="147" spans="1:6" s="105" customFormat="1">
      <c r="A147" s="112" t="s">
        <v>10</v>
      </c>
      <c r="B147" s="135"/>
      <c r="C147" s="135"/>
      <c r="D147" s="114"/>
      <c r="E147" s="114"/>
      <c r="F147" s="146"/>
    </row>
    <row r="148" spans="1:6" s="105" customFormat="1">
      <c r="A148" s="150" t="s">
        <v>19</v>
      </c>
      <c r="B148" s="151" t="s">
        <v>20</v>
      </c>
      <c r="C148" s="151" t="s">
        <v>14</v>
      </c>
      <c r="D148" s="121" t="s">
        <v>21</v>
      </c>
      <c r="E148" s="121" t="s">
        <v>22</v>
      </c>
      <c r="F148" s="121" t="s">
        <v>71</v>
      </c>
    </row>
    <row r="149" spans="1:6" s="105" customFormat="1">
      <c r="A149" s="155" t="s">
        <v>72</v>
      </c>
      <c r="B149" s="156" t="s">
        <v>67</v>
      </c>
      <c r="C149" s="175">
        <v>440</v>
      </c>
      <c r="D149" s="158">
        <v>2.4</v>
      </c>
      <c r="E149" s="166">
        <f>C149*D149</f>
        <v>1056</v>
      </c>
      <c r="F149" s="146"/>
    </row>
    <row r="150" spans="1:6" s="105" customFormat="1">
      <c r="A150" s="155"/>
      <c r="B150" s="156"/>
      <c r="C150" s="175"/>
      <c r="D150" s="158"/>
      <c r="E150" s="166"/>
      <c r="F150" s="176">
        <f>SUM(E149:E149)</f>
        <v>1056</v>
      </c>
    </row>
    <row r="151" spans="1:6" s="105" customFormat="1">
      <c r="A151" s="112"/>
      <c r="B151" s="135"/>
      <c r="C151" s="135"/>
      <c r="D151" s="114"/>
      <c r="E151" s="114"/>
      <c r="F151" s="114"/>
    </row>
    <row r="152" spans="1:6" s="105" customFormat="1">
      <c r="A152" s="177" t="s">
        <v>73</v>
      </c>
      <c r="B152" s="178"/>
      <c r="C152" s="178"/>
      <c r="D152" s="119"/>
      <c r="E152" s="179"/>
      <c r="F152" s="176">
        <f>F56+F139+F150</f>
        <v>87968.696119999993</v>
      </c>
    </row>
    <row r="153" spans="1:6">
      <c r="A153" s="112"/>
      <c r="B153" s="135"/>
      <c r="C153" s="135"/>
      <c r="D153" s="114"/>
      <c r="E153" s="114"/>
      <c r="F153" s="114"/>
    </row>
    <row r="154" spans="1:6" s="105" customFormat="1">
      <c r="A154" s="149" t="s">
        <v>74</v>
      </c>
      <c r="B154" s="135"/>
      <c r="C154" s="135"/>
      <c r="D154" s="114"/>
      <c r="E154" s="114"/>
      <c r="F154" s="114"/>
    </row>
    <row r="155" spans="1:6" s="105" customFormat="1" ht="11.25" customHeight="1">
      <c r="A155" s="112"/>
      <c r="B155" s="135"/>
      <c r="C155" s="135"/>
      <c r="D155" s="114"/>
      <c r="E155" s="114"/>
      <c r="F155" s="114"/>
    </row>
    <row r="156" spans="1:6" s="105" customFormat="1" ht="13.9" customHeight="1">
      <c r="A156" s="112" t="s">
        <v>250</v>
      </c>
      <c r="B156" s="135"/>
      <c r="C156" s="135"/>
      <c r="D156" s="114"/>
      <c r="E156" s="114"/>
      <c r="F156" s="114"/>
    </row>
    <row r="157" spans="1:6" s="105" customFormat="1" ht="11.25" customHeight="1">
      <c r="A157" s="112"/>
      <c r="B157" s="135"/>
      <c r="C157" s="135"/>
      <c r="D157" s="114"/>
      <c r="E157" s="114"/>
      <c r="F157" s="114"/>
    </row>
    <row r="158" spans="1:6" s="105" customFormat="1" ht="27.75" customHeight="1">
      <c r="A158" s="150" t="s">
        <v>19</v>
      </c>
      <c r="B158" s="151" t="s">
        <v>20</v>
      </c>
      <c r="C158" s="180" t="s">
        <v>75</v>
      </c>
      <c r="D158" s="121" t="s">
        <v>21</v>
      </c>
      <c r="E158" s="121" t="s">
        <v>22</v>
      </c>
      <c r="F158" s="121" t="s">
        <v>251</v>
      </c>
    </row>
    <row r="159" spans="1:6" s="105" customFormat="1" hidden="1">
      <c r="A159" s="152" t="s">
        <v>76</v>
      </c>
      <c r="B159" s="153" t="s">
        <v>67</v>
      </c>
      <c r="C159" s="181"/>
      <c r="D159" s="154">
        <v>65</v>
      </c>
      <c r="E159" s="154">
        <f t="shared" ref="E159:E164" si="1">IFERROR(D159/C159,0)</f>
        <v>0</v>
      </c>
      <c r="F159" s="114"/>
    </row>
    <row r="160" spans="1:6" s="105" customFormat="1" ht="13.15" customHeight="1">
      <c r="A160" s="155" t="s">
        <v>77</v>
      </c>
      <c r="B160" s="156" t="s">
        <v>67</v>
      </c>
      <c r="C160" s="181">
        <v>6</v>
      </c>
      <c r="D160" s="154">
        <v>35</v>
      </c>
      <c r="E160" s="154">
        <f t="shared" si="1"/>
        <v>5.833333333333333</v>
      </c>
      <c r="F160" s="114"/>
    </row>
    <row r="161" spans="1:7" s="105" customFormat="1">
      <c r="A161" s="155" t="s">
        <v>253</v>
      </c>
      <c r="B161" s="156" t="s">
        <v>67</v>
      </c>
      <c r="C161" s="181">
        <v>6</v>
      </c>
      <c r="D161" s="154">
        <v>30</v>
      </c>
      <c r="E161" s="154">
        <f t="shared" si="1"/>
        <v>5</v>
      </c>
      <c r="F161" s="114"/>
    </row>
    <row r="162" spans="1:7" s="105" customFormat="1" ht="13.15" customHeight="1">
      <c r="A162" s="155" t="s">
        <v>78</v>
      </c>
      <c r="B162" s="156" t="s">
        <v>67</v>
      </c>
      <c r="C162" s="181">
        <v>6</v>
      </c>
      <c r="D162" s="154">
        <v>12</v>
      </c>
      <c r="E162" s="154">
        <f t="shared" si="1"/>
        <v>2</v>
      </c>
      <c r="F162" s="114"/>
    </row>
    <row r="163" spans="1:7" s="105" customFormat="1" ht="13.9" customHeight="1">
      <c r="A163" s="155" t="s">
        <v>79</v>
      </c>
      <c r="B163" s="156" t="s">
        <v>80</v>
      </c>
      <c r="C163" s="181">
        <v>6</v>
      </c>
      <c r="D163" s="154">
        <v>35</v>
      </c>
      <c r="E163" s="154">
        <f t="shared" si="1"/>
        <v>5.833333333333333</v>
      </c>
      <c r="F163" s="114"/>
    </row>
    <row r="164" spans="1:7" s="186" customFormat="1" hidden="1">
      <c r="A164" s="182" t="s">
        <v>81</v>
      </c>
      <c r="B164" s="183" t="s">
        <v>67</v>
      </c>
      <c r="C164" s="181"/>
      <c r="D164" s="154">
        <v>26.45</v>
      </c>
      <c r="E164" s="154">
        <f t="shared" si="1"/>
        <v>0</v>
      </c>
      <c r="F164" s="184"/>
      <c r="G164" s="185"/>
    </row>
    <row r="165" spans="1:7" hidden="1">
      <c r="A165" s="155" t="s">
        <v>82</v>
      </c>
      <c r="B165" s="156" t="s">
        <v>83</v>
      </c>
      <c r="C165" s="169">
        <v>1</v>
      </c>
      <c r="D165" s="154"/>
      <c r="E165" s="158">
        <f>C165*D165</f>
        <v>0</v>
      </c>
      <c r="F165" s="114"/>
    </row>
    <row r="166" spans="1:7">
      <c r="A166" s="155" t="s">
        <v>39</v>
      </c>
      <c r="B166" s="156" t="s">
        <v>35</v>
      </c>
      <c r="C166" s="169">
        <f>E32+E33</f>
        <v>20</v>
      </c>
      <c r="D166" s="158">
        <f>+SUM(E159:E165)</f>
        <v>18.666666666666664</v>
      </c>
      <c r="E166" s="158">
        <f>C166*D166</f>
        <v>373.33333333333326</v>
      </c>
      <c r="F166" s="114"/>
    </row>
    <row r="167" spans="1:7">
      <c r="A167" s="112"/>
      <c r="B167" s="135"/>
      <c r="C167" s="135"/>
      <c r="D167" s="165" t="s">
        <v>40</v>
      </c>
      <c r="E167" s="166">
        <f>$B$40</f>
        <v>1</v>
      </c>
      <c r="F167" s="167">
        <f>E166*E167</f>
        <v>373.33333333333326</v>
      </c>
    </row>
    <row r="168" spans="1:7" s="105" customFormat="1" ht="11.25" customHeight="1">
      <c r="A168" s="112"/>
      <c r="B168" s="135"/>
      <c r="C168" s="135"/>
      <c r="D168" s="114"/>
      <c r="E168" s="114"/>
      <c r="F168" s="114"/>
    </row>
    <row r="169" spans="1:7" s="105" customFormat="1">
      <c r="A169" s="177" t="s">
        <v>84</v>
      </c>
      <c r="B169" s="137"/>
      <c r="C169" s="137"/>
      <c r="D169" s="118"/>
      <c r="E169" s="187"/>
      <c r="F169" s="121">
        <f>+F167</f>
        <v>373.33333333333326</v>
      </c>
    </row>
    <row r="170" spans="1:7" s="105" customFormat="1" ht="11.25" customHeight="1">
      <c r="A170" s="112"/>
      <c r="B170" s="135"/>
      <c r="C170" s="135"/>
      <c r="D170" s="114"/>
      <c r="E170" s="114"/>
      <c r="F170" s="114"/>
    </row>
    <row r="171" spans="1:7">
      <c r="A171" s="149"/>
      <c r="B171" s="147"/>
      <c r="C171" s="147"/>
      <c r="D171" s="146"/>
      <c r="E171" s="146"/>
      <c r="F171" s="162"/>
    </row>
    <row r="172" spans="1:7" hidden="1">
      <c r="A172" s="149" t="s">
        <v>85</v>
      </c>
      <c r="B172" s="147"/>
      <c r="C172" s="147"/>
      <c r="D172" s="146"/>
      <c r="E172" s="146"/>
      <c r="F172" s="162"/>
    </row>
    <row r="173" spans="1:7" hidden="1">
      <c r="A173" s="112"/>
      <c r="B173" s="135"/>
      <c r="C173" s="135"/>
      <c r="D173" s="114"/>
      <c r="E173" s="114"/>
      <c r="F173" s="114"/>
    </row>
    <row r="174" spans="1:7" hidden="1">
      <c r="A174" s="150" t="s">
        <v>19</v>
      </c>
      <c r="B174" s="151" t="s">
        <v>20</v>
      </c>
      <c r="C174" s="151" t="s">
        <v>14</v>
      </c>
      <c r="D174" s="121" t="s">
        <v>21</v>
      </c>
      <c r="E174" s="121" t="s">
        <v>22</v>
      </c>
      <c r="F174" s="121" t="s">
        <v>251</v>
      </c>
    </row>
    <row r="175" spans="1:7" hidden="1">
      <c r="A175" s="155" t="s">
        <v>86</v>
      </c>
      <c r="B175" s="156" t="s">
        <v>24</v>
      </c>
      <c r="C175" s="169">
        <v>1</v>
      </c>
      <c r="D175" s="158"/>
      <c r="E175" s="158">
        <f>+D175*C175</f>
        <v>0</v>
      </c>
      <c r="F175" s="188"/>
    </row>
    <row r="176" spans="1:7" hidden="1">
      <c r="A176" s="155" t="s">
        <v>87</v>
      </c>
      <c r="B176" s="156" t="s">
        <v>24</v>
      </c>
      <c r="C176" s="156"/>
      <c r="D176" s="189">
        <v>75</v>
      </c>
      <c r="E176" s="189">
        <f>+D176*C176</f>
        <v>0</v>
      </c>
      <c r="F176" s="188"/>
    </row>
    <row r="177" spans="1:6" hidden="1">
      <c r="A177" s="155" t="s">
        <v>88</v>
      </c>
      <c r="B177" s="156" t="s">
        <v>24</v>
      </c>
      <c r="C177" s="156"/>
      <c r="D177" s="189">
        <f>E175+E176</f>
        <v>0</v>
      </c>
      <c r="E177" s="189"/>
      <c r="F177" s="188"/>
    </row>
    <row r="178" spans="1:6" hidden="1">
      <c r="A178" s="112"/>
      <c r="B178" s="135"/>
      <c r="C178" s="135"/>
      <c r="D178" s="165" t="s">
        <v>40</v>
      </c>
      <c r="E178" s="166">
        <f>$B$40</f>
        <v>1</v>
      </c>
      <c r="F178" s="121">
        <f>(E175+E176)*E178</f>
        <v>0</v>
      </c>
    </row>
    <row r="179" spans="1:6" hidden="1">
      <c r="A179" s="112"/>
      <c r="B179" s="135"/>
      <c r="C179" s="135"/>
      <c r="D179" s="114"/>
      <c r="E179" s="114"/>
      <c r="F179" s="114"/>
    </row>
    <row r="180" spans="1:6" hidden="1">
      <c r="A180" s="177" t="s">
        <v>89</v>
      </c>
      <c r="B180" s="178"/>
      <c r="C180" s="178"/>
      <c r="D180" s="119"/>
      <c r="E180" s="179"/>
      <c r="F180" s="121">
        <f>+F178</f>
        <v>0</v>
      </c>
    </row>
    <row r="181" spans="1:6" hidden="1">
      <c r="A181" s="149"/>
      <c r="B181" s="147"/>
      <c r="C181" s="147"/>
      <c r="D181" s="146"/>
      <c r="E181" s="146"/>
      <c r="F181" s="162"/>
    </row>
    <row r="182" spans="1:6" hidden="1">
      <c r="A182" s="149" t="s">
        <v>90</v>
      </c>
      <c r="B182" s="147"/>
      <c r="C182" s="147"/>
      <c r="D182" s="146"/>
      <c r="E182" s="146"/>
      <c r="F182" s="162"/>
    </row>
    <row r="183" spans="1:6" hidden="1">
      <c r="A183" s="112"/>
      <c r="B183" s="135"/>
      <c r="C183" s="135"/>
      <c r="D183" s="114"/>
      <c r="E183" s="114"/>
      <c r="F183" s="114"/>
    </row>
    <row r="184" spans="1:6" hidden="1">
      <c r="A184" s="150" t="s">
        <v>19</v>
      </c>
      <c r="B184" s="151" t="s">
        <v>20</v>
      </c>
      <c r="C184" s="151" t="s">
        <v>14</v>
      </c>
      <c r="D184" s="121" t="s">
        <v>21</v>
      </c>
      <c r="E184" s="121" t="s">
        <v>22</v>
      </c>
      <c r="F184" s="121" t="s">
        <v>251</v>
      </c>
    </row>
    <row r="185" spans="1:6" hidden="1">
      <c r="A185" s="155" t="s">
        <v>91</v>
      </c>
      <c r="B185" s="156" t="s">
        <v>92</v>
      </c>
      <c r="C185" s="169"/>
      <c r="D185" s="158">
        <v>89.2</v>
      </c>
      <c r="E185" s="158">
        <f>D185*C185</f>
        <v>0</v>
      </c>
      <c r="F185" s="188"/>
    </row>
    <row r="186" spans="1:6" hidden="1">
      <c r="A186" s="155" t="s">
        <v>93</v>
      </c>
      <c r="B186" s="156" t="s">
        <v>24</v>
      </c>
      <c r="C186" s="156">
        <v>1</v>
      </c>
      <c r="D186" s="189">
        <f>E185</f>
        <v>0</v>
      </c>
      <c r="E186" s="189">
        <f>E185</f>
        <v>0</v>
      </c>
      <c r="F186" s="188"/>
    </row>
    <row r="187" spans="1:6" hidden="1">
      <c r="A187" s="112"/>
      <c r="B187" s="135"/>
      <c r="C187" s="135"/>
      <c r="D187" s="165" t="s">
        <v>40</v>
      </c>
      <c r="E187" s="166">
        <f>$B$40</f>
        <v>1</v>
      </c>
      <c r="F187" s="121">
        <f>E186</f>
        <v>0</v>
      </c>
    </row>
    <row r="188" spans="1:6" hidden="1">
      <c r="A188" s="112"/>
      <c r="B188" s="135"/>
      <c r="C188" s="135"/>
      <c r="D188" s="114"/>
      <c r="E188" s="114"/>
      <c r="F188" s="114"/>
    </row>
    <row r="189" spans="1:6" hidden="1">
      <c r="A189" s="177" t="s">
        <v>94</v>
      </c>
      <c r="B189" s="178"/>
      <c r="C189" s="178"/>
      <c r="D189" s="119"/>
      <c r="E189" s="179"/>
      <c r="F189" s="121">
        <f>+F187</f>
        <v>0</v>
      </c>
    </row>
    <row r="190" spans="1:6" hidden="1">
      <c r="A190" s="149"/>
      <c r="B190" s="147"/>
      <c r="C190" s="147"/>
      <c r="D190" s="146"/>
      <c r="E190" s="146"/>
      <c r="F190" s="162"/>
    </row>
    <row r="191" spans="1:6" ht="11.25" hidden="1" customHeight="1">
      <c r="A191" s="112"/>
      <c r="B191" s="135"/>
      <c r="C191" s="135"/>
      <c r="D191" s="114"/>
      <c r="E191" s="114"/>
      <c r="F191" s="114"/>
    </row>
    <row r="192" spans="1:6" ht="17.25" customHeight="1">
      <c r="A192" s="177" t="s">
        <v>95</v>
      </c>
      <c r="B192" s="137"/>
      <c r="C192" s="137"/>
      <c r="D192" s="118"/>
      <c r="E192" s="187"/>
      <c r="F192" s="176">
        <f>+F152+F169+F189</f>
        <v>88342.029453333322</v>
      </c>
    </row>
    <row r="193" spans="1:6" ht="11.25" customHeight="1">
      <c r="A193" s="112"/>
      <c r="B193" s="135"/>
      <c r="C193" s="135"/>
      <c r="D193" s="114"/>
      <c r="E193" s="114"/>
      <c r="F193" s="114"/>
    </row>
    <row r="194" spans="1:6">
      <c r="A194" s="149" t="s">
        <v>96</v>
      </c>
      <c r="B194" s="135"/>
      <c r="C194" s="135"/>
      <c r="D194" s="114"/>
      <c r="E194" s="114"/>
      <c r="F194" s="114"/>
    </row>
    <row r="195" spans="1:6" ht="11.25" customHeight="1">
      <c r="A195" s="112"/>
      <c r="B195" s="135"/>
      <c r="C195" s="135"/>
      <c r="D195" s="114"/>
      <c r="E195" s="114"/>
      <c r="F195" s="114"/>
    </row>
    <row r="196" spans="1:6">
      <c r="A196" s="150" t="s">
        <v>19</v>
      </c>
      <c r="B196" s="151" t="s">
        <v>20</v>
      </c>
      <c r="C196" s="151" t="s">
        <v>14</v>
      </c>
      <c r="D196" s="121" t="s">
        <v>21</v>
      </c>
      <c r="E196" s="121" t="s">
        <v>22</v>
      </c>
      <c r="F196" s="121" t="s">
        <v>251</v>
      </c>
    </row>
    <row r="197" spans="1:6">
      <c r="A197" s="152" t="s">
        <v>97</v>
      </c>
      <c r="B197" s="153" t="s">
        <v>9</v>
      </c>
      <c r="C197" s="158">
        <f>'4_BDI'!C18*100</f>
        <v>12.950000000000001</v>
      </c>
      <c r="D197" s="154">
        <f>+F192</f>
        <v>88342.029453333322</v>
      </c>
      <c r="E197" s="154">
        <f>C197*D197/100</f>
        <v>11440.292814206667</v>
      </c>
      <c r="F197" s="114"/>
    </row>
    <row r="198" spans="1:6">
      <c r="A198" s="112"/>
      <c r="B198" s="135"/>
      <c r="C198" s="135"/>
      <c r="D198" s="114"/>
      <c r="E198" s="114"/>
      <c r="F198" s="121">
        <f>+E197</f>
        <v>11440.292814206667</v>
      </c>
    </row>
    <row r="199" spans="1:6" ht="11.25" customHeight="1">
      <c r="A199" s="112"/>
      <c r="B199" s="135"/>
      <c r="C199" s="135"/>
      <c r="D199" s="114"/>
      <c r="E199" s="114"/>
      <c r="F199" s="114"/>
    </row>
    <row r="200" spans="1:6">
      <c r="A200" s="177" t="s">
        <v>98</v>
      </c>
      <c r="B200" s="137"/>
      <c r="C200" s="137"/>
      <c r="D200" s="118"/>
      <c r="E200" s="187"/>
      <c r="F200" s="176">
        <f>F198</f>
        <v>11440.292814206667</v>
      </c>
    </row>
    <row r="201" spans="1:6">
      <c r="A201" s="149"/>
      <c r="B201" s="147"/>
      <c r="C201" s="147"/>
      <c r="D201" s="146"/>
      <c r="E201" s="146"/>
      <c r="F201" s="162"/>
    </row>
    <row r="202" spans="1:6" ht="11.25" hidden="1" customHeight="1">
      <c r="A202" s="112"/>
      <c r="B202" s="135"/>
      <c r="C202" s="135"/>
      <c r="D202" s="114"/>
      <c r="E202" s="114"/>
      <c r="F202" s="114"/>
    </row>
    <row r="203" spans="1:6" ht="24.75" customHeight="1">
      <c r="A203" s="177" t="s">
        <v>99</v>
      </c>
      <c r="B203" s="137"/>
      <c r="C203" s="137"/>
      <c r="D203" s="118"/>
      <c r="E203" s="187"/>
      <c r="F203" s="176">
        <f>F192+F200</f>
        <v>99782.322267539988</v>
      </c>
    </row>
    <row r="204" spans="1:6" ht="12.6" customHeight="1">
      <c r="A204" s="149"/>
      <c r="B204" s="147"/>
      <c r="C204" s="147"/>
      <c r="D204" s="146"/>
      <c r="E204" s="146"/>
      <c r="F204" s="146"/>
    </row>
    <row r="205" spans="1:6" hidden="1">
      <c r="A205" s="112"/>
      <c r="B205" s="135"/>
      <c r="C205" s="135"/>
      <c r="D205" s="114"/>
      <c r="E205" s="114"/>
      <c r="F205" s="114"/>
    </row>
    <row r="206" spans="1:6">
      <c r="A206" s="177" t="s">
        <v>254</v>
      </c>
      <c r="B206" s="137"/>
      <c r="C206" s="137"/>
      <c r="D206" s="118"/>
      <c r="E206" s="118"/>
      <c r="F206" s="179">
        <v>4989.1099999999997</v>
      </c>
    </row>
    <row r="207" spans="1:6">
      <c r="A207" s="149" t="s">
        <v>100</v>
      </c>
      <c r="B207" s="135"/>
      <c r="C207" s="135"/>
      <c r="D207" s="114"/>
      <c r="E207" s="114"/>
      <c r="F207" s="146"/>
    </row>
    <row r="208" spans="1:6" ht="12.6" customHeight="1">
      <c r="A208" s="149"/>
      <c r="B208" s="147"/>
      <c r="C208" s="147"/>
      <c r="D208" s="146"/>
      <c r="E208" s="146"/>
      <c r="F208" s="146"/>
    </row>
    <row r="209" spans="1:7" s="111" customFormat="1" ht="19.5" customHeight="1">
      <c r="A209" s="126"/>
      <c r="B209" s="103"/>
      <c r="C209" s="103"/>
      <c r="D209" s="103"/>
      <c r="E209" s="103"/>
      <c r="F209" s="103"/>
      <c r="G209" s="110"/>
    </row>
    <row r="210" spans="1:7" s="111" customFormat="1" ht="18" customHeight="1">
      <c r="A210" s="104"/>
      <c r="B210" s="103"/>
      <c r="C210" s="103"/>
      <c r="D210" s="103"/>
      <c r="E210" s="103"/>
      <c r="F210" s="103"/>
      <c r="G210" s="110"/>
    </row>
    <row r="211" spans="1:7" s="111" customFormat="1" ht="12.75" customHeight="1">
      <c r="A211" s="104"/>
      <c r="B211" s="103"/>
      <c r="C211" s="103"/>
      <c r="D211" s="103"/>
      <c r="E211" s="103"/>
      <c r="F211" s="103"/>
      <c r="G211" s="110"/>
    </row>
    <row r="241" spans="4:7" ht="9" customHeight="1">
      <c r="D241" s="102"/>
      <c r="E241" s="102"/>
      <c r="F241" s="102"/>
      <c r="G241" s="105"/>
    </row>
  </sheetData>
  <mergeCells count="6">
    <mergeCell ref="A31:D31"/>
    <mergeCell ref="A8:F8"/>
    <mergeCell ref="A9:F9"/>
    <mergeCell ref="A11:F11"/>
    <mergeCell ref="A24:C24"/>
    <mergeCell ref="A30:E30"/>
  </mergeCells>
  <pageMargins left="0.905555555555556" right="0.51180555555555496" top="0.74791666666666701" bottom="0.454166666666667" header="0.74791666666666701" footer="0.31527777777777799"/>
  <pageSetup paperSize="9" firstPageNumber="0" orientation="portrait" horizontalDpi="300" verticalDpi="300" r:id="rId1"/>
  <headerFooter>
    <oddFooter>&amp;R&amp;10&amp;P de &amp;N</oddFooter>
  </headerFooter>
  <rowBreaks count="2" manualBreakCount="2">
    <brk id="156" max="5" man="1"/>
    <brk id="211" max="5" man="1"/>
  </rowBreaks>
  <colBreaks count="1" manualBreakCount="1">
    <brk id="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6"/>
  <sheetViews>
    <sheetView zoomScaleNormal="100" zoomScalePageLayoutView="60" workbookViewId="0"/>
  </sheetViews>
  <sheetFormatPr defaultRowHeight="14.25"/>
  <cols>
    <col min="1" max="1" width="12.375" style="4" customWidth="1"/>
    <col min="2" max="2" width="33.5" style="4" customWidth="1"/>
    <col min="3" max="3" width="13.25" style="4" customWidth="1"/>
    <col min="4" max="4" width="34" style="4" customWidth="1"/>
    <col min="5" max="10" width="8.375" style="4" customWidth="1"/>
    <col min="11" max="11" width="10" style="4" customWidth="1"/>
    <col min="12" max="1023" width="8.375" style="4" customWidth="1"/>
    <col min="1024" max="1025" width="8.875" style="4" customWidth="1"/>
  </cols>
  <sheetData>
    <row r="1" spans="1:6">
      <c r="A1" s="2" t="s">
        <v>0</v>
      </c>
    </row>
    <row r="2" spans="1:6">
      <c r="A2" s="3" t="s">
        <v>101</v>
      </c>
    </row>
    <row r="4" spans="1:6" ht="18">
      <c r="A4" s="195" t="s">
        <v>102</v>
      </c>
      <c r="B4" s="195"/>
      <c r="C4" s="195"/>
      <c r="D4" s="5"/>
      <c r="E4" s="5"/>
      <c r="F4" s="5"/>
    </row>
    <row r="5" spans="1:6">
      <c r="A5" s="6" t="s">
        <v>103</v>
      </c>
      <c r="B5" s="6" t="s">
        <v>104</v>
      </c>
      <c r="C5" s="6" t="s">
        <v>105</v>
      </c>
      <c r="D5" s="7"/>
    </row>
    <row r="6" spans="1:6">
      <c r="A6" s="6" t="s">
        <v>106</v>
      </c>
      <c r="B6" s="6" t="s">
        <v>107</v>
      </c>
      <c r="C6" s="8">
        <v>0.2</v>
      </c>
      <c r="D6" s="7"/>
    </row>
    <row r="7" spans="1:6">
      <c r="A7" s="6" t="s">
        <v>108</v>
      </c>
      <c r="B7" s="6" t="s">
        <v>109</v>
      </c>
      <c r="C7" s="8">
        <v>1.4999999999999999E-2</v>
      </c>
      <c r="D7" s="7"/>
    </row>
    <row r="8" spans="1:6">
      <c r="A8" s="6" t="s">
        <v>110</v>
      </c>
      <c r="B8" s="6" t="s">
        <v>111</v>
      </c>
      <c r="C8" s="8">
        <v>0.01</v>
      </c>
      <c r="D8" s="7"/>
    </row>
    <row r="9" spans="1:6">
      <c r="A9" s="6" t="s">
        <v>112</v>
      </c>
      <c r="B9" s="6" t="s">
        <v>113</v>
      </c>
      <c r="C9" s="8">
        <v>2E-3</v>
      </c>
      <c r="D9" s="7"/>
    </row>
    <row r="10" spans="1:6">
      <c r="A10" s="6" t="s">
        <v>114</v>
      </c>
      <c r="B10" s="6" t="s">
        <v>115</v>
      </c>
      <c r="C10" s="8">
        <v>6.0000000000000001E-3</v>
      </c>
      <c r="D10" s="7"/>
    </row>
    <row r="11" spans="1:6">
      <c r="A11" s="6" t="s">
        <v>116</v>
      </c>
      <c r="B11" s="6" t="s">
        <v>117</v>
      </c>
      <c r="C11" s="8">
        <v>2.5000000000000001E-2</v>
      </c>
      <c r="D11" s="7"/>
    </row>
    <row r="12" spans="1:6">
      <c r="A12" s="6" t="s">
        <v>118</v>
      </c>
      <c r="B12" s="6" t="s">
        <v>119</v>
      </c>
      <c r="C12" s="8">
        <v>0.03</v>
      </c>
      <c r="D12" s="7"/>
    </row>
    <row r="13" spans="1:6">
      <c r="A13" s="6" t="s">
        <v>120</v>
      </c>
      <c r="B13" s="6" t="s">
        <v>121</v>
      </c>
      <c r="C13" s="8">
        <v>0.08</v>
      </c>
      <c r="D13" s="9"/>
    </row>
    <row r="14" spans="1:6" ht="15">
      <c r="A14" s="6" t="s">
        <v>122</v>
      </c>
      <c r="B14" s="10" t="s">
        <v>123</v>
      </c>
      <c r="C14" s="11">
        <f>SUM(C6:C13)</f>
        <v>0.36800000000000005</v>
      </c>
      <c r="D14" s="9"/>
    </row>
    <row r="15" spans="1:6" ht="15">
      <c r="A15" s="12"/>
      <c r="B15" s="13"/>
      <c r="C15" s="14"/>
      <c r="D15" s="9"/>
    </row>
    <row r="16" spans="1:6">
      <c r="A16" s="6" t="s">
        <v>124</v>
      </c>
      <c r="B16" s="6" t="s">
        <v>125</v>
      </c>
      <c r="C16" s="8">
        <f>ROUND(IF('3_CAGED'!C39&gt;24,(1-12/'3_CAGED'!C39)*0.1111,0.1111-C25),4)</f>
        <v>2.5899999999999999E-2</v>
      </c>
      <c r="D16" s="9"/>
    </row>
    <row r="17" spans="1:8">
      <c r="A17" s="6" t="s">
        <v>126</v>
      </c>
      <c r="B17" s="6" t="s">
        <v>127</v>
      </c>
      <c r="C17" s="8">
        <f>ROUND('3_CAGED'!C33/'3_CAGED'!C30,4)</f>
        <v>8.3299999999999999E-2</v>
      </c>
      <c r="D17" s="9"/>
    </row>
    <row r="18" spans="1:8">
      <c r="A18" s="6" t="s">
        <v>128</v>
      </c>
      <c r="B18" s="6" t="s">
        <v>129</v>
      </c>
      <c r="C18" s="8">
        <v>5.9999999999999995E-4</v>
      </c>
      <c r="D18" s="9"/>
    </row>
    <row r="19" spans="1:8">
      <c r="A19" s="6" t="s">
        <v>130</v>
      </c>
      <c r="B19" s="6" t="s">
        <v>131</v>
      </c>
      <c r="C19" s="8">
        <v>8.2000000000000007E-3</v>
      </c>
      <c r="D19" s="9"/>
    </row>
    <row r="20" spans="1:8">
      <c r="A20" s="6" t="s">
        <v>132</v>
      </c>
      <c r="B20" s="6" t="s">
        <v>133</v>
      </c>
      <c r="C20" s="8">
        <v>3.0999999999999999E-3</v>
      </c>
      <c r="D20" s="9"/>
    </row>
    <row r="21" spans="1:8">
      <c r="A21" s="6" t="s">
        <v>134</v>
      </c>
      <c r="B21" s="6" t="s">
        <v>135</v>
      </c>
      <c r="C21" s="8">
        <v>1.66E-2</v>
      </c>
      <c r="D21" s="9"/>
    </row>
    <row r="22" spans="1:8" ht="15">
      <c r="A22" s="6" t="s">
        <v>136</v>
      </c>
      <c r="B22" s="10" t="s">
        <v>137</v>
      </c>
      <c r="C22" s="11">
        <f>SUM(C16:C21)</f>
        <v>0.13769999999999999</v>
      </c>
      <c r="D22" s="15"/>
    </row>
    <row r="23" spans="1:8" ht="15">
      <c r="A23" s="12"/>
      <c r="B23" s="13"/>
      <c r="C23" s="14"/>
      <c r="D23" s="15"/>
    </row>
    <row r="24" spans="1:8">
      <c r="A24" s="6" t="s">
        <v>138</v>
      </c>
      <c r="B24" s="6" t="s">
        <v>139</v>
      </c>
      <c r="C24" s="8">
        <f>ROUND(('3_CAGED'!C38) *'3_CAGED'!C29/'3_CAGED'!C30,4)</f>
        <v>3.5999999999999997E-2</v>
      </c>
      <c r="D24" s="9"/>
      <c r="E24" s="16"/>
    </row>
    <row r="25" spans="1:8">
      <c r="A25" s="6" t="s">
        <v>140</v>
      </c>
      <c r="B25" s="6" t="s">
        <v>141</v>
      </c>
      <c r="C25" s="8">
        <f>ROUND(IF('3_CAGED'!C39&gt;12,12/'3_CAGED'!C39*0.1111,0.1111),4)</f>
        <v>8.5199999999999998E-2</v>
      </c>
      <c r="D25" s="9"/>
      <c r="H25" s="17"/>
    </row>
    <row r="26" spans="1:8">
      <c r="A26" s="6" t="s">
        <v>142</v>
      </c>
      <c r="B26" s="6" t="s">
        <v>143</v>
      </c>
      <c r="C26" s="8">
        <f>ROUND(('3_CAGED'!C32+'3_CAGED'!C31)/360*C24,4)</f>
        <v>4.0000000000000001E-3</v>
      </c>
      <c r="D26" s="9"/>
    </row>
    <row r="27" spans="1:8">
      <c r="A27" s="6" t="s">
        <v>144</v>
      </c>
      <c r="B27" s="6" t="s">
        <v>145</v>
      </c>
      <c r="C27" s="8">
        <f>ROUND(('3_CAGED'!C30+'3_CAGED'!C31+'3_CAGED'!C33)/'3_CAGED'!C28*'3_CAGED'!C35*'3_CAGED'!C36*'3_CAGED'!C29/'3_CAGED'!C30,4)</f>
        <v>2.2800000000000001E-2</v>
      </c>
      <c r="D27" s="9"/>
      <c r="G27" s="16"/>
    </row>
    <row r="28" spans="1:8">
      <c r="A28" s="6" t="s">
        <v>146</v>
      </c>
      <c r="B28" s="6" t="s">
        <v>147</v>
      </c>
      <c r="C28" s="8">
        <f>ROUND(('3_CAGED'!C32/'3_CAGED'!C30)*'3_CAGED'!C29/12,4)</f>
        <v>2.7000000000000001E-3</v>
      </c>
      <c r="D28" s="9"/>
    </row>
    <row r="29" spans="1:8" ht="15">
      <c r="A29" s="6" t="s">
        <v>148</v>
      </c>
      <c r="B29" s="10" t="s">
        <v>149</v>
      </c>
      <c r="C29" s="11">
        <f>SUM(C24:C28)</f>
        <v>0.15070000000000003</v>
      </c>
      <c r="D29" s="15"/>
    </row>
    <row r="30" spans="1:8" ht="15">
      <c r="A30" s="12"/>
      <c r="B30" s="13"/>
      <c r="C30" s="14"/>
      <c r="D30" s="15"/>
    </row>
    <row r="31" spans="1:8">
      <c r="A31" s="6" t="s">
        <v>150</v>
      </c>
      <c r="B31" s="6" t="s">
        <v>151</v>
      </c>
      <c r="C31" s="8">
        <f>ROUND(C14*C22,4)</f>
        <v>5.0700000000000002E-2</v>
      </c>
      <c r="D31" s="9"/>
    </row>
    <row r="32" spans="1:8" ht="28.5">
      <c r="A32" s="6" t="s">
        <v>152</v>
      </c>
      <c r="B32" s="18" t="s">
        <v>153</v>
      </c>
      <c r="C32" s="8">
        <f>ROUND((C24*C14),4)</f>
        <v>1.32E-2</v>
      </c>
      <c r="D32" s="9"/>
    </row>
    <row r="33" spans="1:4" ht="15">
      <c r="A33" s="6" t="s">
        <v>154</v>
      </c>
      <c r="B33" s="10" t="s">
        <v>155</v>
      </c>
      <c r="C33" s="11">
        <f>SUM(C31:C32)</f>
        <v>6.3899999999999998E-2</v>
      </c>
      <c r="D33" s="19"/>
    </row>
    <row r="34" spans="1:4" ht="15">
      <c r="A34" s="20"/>
      <c r="B34" s="21" t="s">
        <v>156</v>
      </c>
      <c r="C34" s="22">
        <f>C33+C29+C22+C14</f>
        <v>0.72030000000000005</v>
      </c>
      <c r="D34" s="19"/>
    </row>
    <row r="35" spans="1:4" ht="15">
      <c r="A35" s="9"/>
      <c r="B35" s="23"/>
      <c r="C35" s="24"/>
      <c r="D35" s="25"/>
    </row>
    <row r="36" spans="1:4">
      <c r="A36" s="9"/>
      <c r="B36" s="9"/>
      <c r="C36" s="26"/>
      <c r="D36" s="27"/>
    </row>
    <row r="37" spans="1:4">
      <c r="A37" s="7"/>
      <c r="B37" s="7"/>
      <c r="C37" s="28"/>
      <c r="D37" s="7"/>
    </row>
    <row r="38" spans="1:4">
      <c r="A38" s="7"/>
      <c r="B38" s="7"/>
      <c r="C38" s="28"/>
      <c r="D38" s="7"/>
    </row>
    <row r="39" spans="1:4">
      <c r="A39" s="7"/>
      <c r="B39" s="7"/>
      <c r="C39" s="28"/>
      <c r="D39" s="7"/>
    </row>
    <row r="40" spans="1:4" ht="15">
      <c r="A40" s="7"/>
      <c r="B40" s="29"/>
      <c r="C40" s="30"/>
      <c r="D40" s="7"/>
    </row>
    <row r="41" spans="1:4" ht="15">
      <c r="A41" s="19"/>
      <c r="B41" s="29"/>
      <c r="C41" s="30"/>
      <c r="D41" s="19"/>
    </row>
    <row r="42" spans="1:4" ht="16.5">
      <c r="A42" s="31"/>
    </row>
    <row r="43" spans="1:4">
      <c r="A43" s="32"/>
    </row>
    <row r="44" spans="1:4">
      <c r="A44" s="7"/>
      <c r="B44" s="33"/>
    </row>
    <row r="45" spans="1:4">
      <c r="A45" s="7"/>
      <c r="B45" s="33"/>
      <c r="C45" s="7"/>
    </row>
    <row r="46" spans="1:4">
      <c r="A46" s="7"/>
      <c r="B46" s="28"/>
    </row>
    <row r="47" spans="1:4">
      <c r="A47" s="7"/>
      <c r="B47" s="33"/>
      <c r="C47" s="7"/>
    </row>
    <row r="48" spans="1:4">
      <c r="A48" s="7"/>
      <c r="B48" s="28"/>
    </row>
    <row r="49" spans="1:3">
      <c r="A49" s="7"/>
      <c r="B49" s="33"/>
      <c r="C49" s="7"/>
    </row>
    <row r="50" spans="1:3">
      <c r="A50" s="7"/>
      <c r="B50" s="28"/>
    </row>
    <row r="51" spans="1:3">
      <c r="A51" s="7"/>
      <c r="B51" s="33"/>
      <c r="C51" s="7"/>
    </row>
    <row r="52" spans="1:3">
      <c r="A52" s="7"/>
      <c r="B52" s="28"/>
    </row>
    <row r="53" spans="1:3" ht="16.5">
      <c r="A53" s="31"/>
    </row>
    <row r="56" spans="1:3">
      <c r="A56" s="34"/>
    </row>
  </sheetData>
  <mergeCells count="1">
    <mergeCell ref="A4:C4"/>
  </mergeCells>
  <pageMargins left="0.905555555555556" right="0.51180555555555496" top="0.74791666666666701" bottom="0.74791666666666701" header="0.74791666666666701" footer="0.74791666666666701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41"/>
  <sheetViews>
    <sheetView topLeftCell="A4" zoomScaleNormal="100" zoomScalePageLayoutView="60" workbookViewId="0">
      <selection activeCell="O30" sqref="O30"/>
    </sheetView>
  </sheetViews>
  <sheetFormatPr defaultRowHeight="14.25"/>
  <cols>
    <col min="1" max="1" width="7.75" style="4" customWidth="1"/>
    <col min="2" max="2" width="61.125" style="4" customWidth="1"/>
    <col min="3" max="3" width="12.5" style="4" customWidth="1"/>
    <col min="4" max="4" width="9.375" style="4" hidden="1" customWidth="1"/>
    <col min="5" max="5" width="12.5" style="4" hidden="1" customWidth="1"/>
    <col min="6" max="6" width="13.125" style="4" hidden="1" customWidth="1"/>
    <col min="7" max="7" width="11.625" style="4" hidden="1" customWidth="1"/>
    <col min="8" max="8" width="4" style="4" hidden="1" customWidth="1"/>
    <col min="9" max="9" width="6.25" style="4" hidden="1" customWidth="1"/>
    <col min="10" max="10" width="3" style="4" hidden="1" customWidth="1"/>
    <col min="11" max="11" width="10.5" style="4" hidden="1" customWidth="1"/>
    <col min="12" max="1023" width="8.375" style="4" customWidth="1"/>
    <col min="1024" max="1025" width="8.875" style="4" customWidth="1"/>
  </cols>
  <sheetData>
    <row r="1" spans="1:3">
      <c r="A1" s="35" t="s">
        <v>157</v>
      </c>
    </row>
    <row r="3" spans="1:3">
      <c r="A3" s="4" t="s">
        <v>158</v>
      </c>
    </row>
    <row r="4" spans="1:3">
      <c r="A4" s="4" t="s">
        <v>159</v>
      </c>
    </row>
    <row r="5" spans="1:3" ht="25.5" customHeight="1">
      <c r="A5" s="196" t="s">
        <v>160</v>
      </c>
      <c r="B5" s="196"/>
      <c r="C5" s="196"/>
    </row>
    <row r="6" spans="1:3">
      <c r="A6" s="4" t="s">
        <v>161</v>
      </c>
    </row>
    <row r="7" spans="1:3" ht="26.25" customHeight="1">
      <c r="A7" s="196" t="s">
        <v>162</v>
      </c>
      <c r="B7" s="196"/>
      <c r="C7" s="196"/>
    </row>
    <row r="8" spans="1:3">
      <c r="A8" s="4" t="s">
        <v>163</v>
      </c>
    </row>
    <row r="9" spans="1:3">
      <c r="A9" s="4" t="s">
        <v>164</v>
      </c>
    </row>
    <row r="11" spans="1:3" ht="18">
      <c r="B11" s="197" t="s">
        <v>165</v>
      </c>
      <c r="C11" s="197"/>
    </row>
    <row r="12" spans="1:3" ht="15">
      <c r="B12" s="36" t="s">
        <v>166</v>
      </c>
      <c r="C12" s="37"/>
    </row>
    <row r="13" spans="1:3" ht="15">
      <c r="B13" s="38" t="s">
        <v>167</v>
      </c>
      <c r="C13" s="39">
        <v>2602</v>
      </c>
    </row>
    <row r="14" spans="1:3" ht="15">
      <c r="B14" s="40" t="s">
        <v>168</v>
      </c>
      <c r="C14" s="39">
        <v>1500</v>
      </c>
    </row>
    <row r="15" spans="1:3">
      <c r="B15" s="41" t="s">
        <v>169</v>
      </c>
      <c r="C15" s="42">
        <v>165</v>
      </c>
    </row>
    <row r="16" spans="1:3">
      <c r="B16" s="41" t="s">
        <v>170</v>
      </c>
      <c r="C16" s="42">
        <v>1050</v>
      </c>
    </row>
    <row r="17" spans="1:7">
      <c r="B17" s="41" t="s">
        <v>171</v>
      </c>
      <c r="C17" s="42">
        <v>338</v>
      </c>
    </row>
    <row r="18" spans="1:7">
      <c r="B18" s="41" t="s">
        <v>172</v>
      </c>
      <c r="C18" s="42">
        <v>22</v>
      </c>
    </row>
    <row r="19" spans="1:7">
      <c r="B19" s="41" t="s">
        <v>173</v>
      </c>
      <c r="C19" s="42">
        <v>300</v>
      </c>
    </row>
    <row r="20" spans="1:7">
      <c r="B20" s="41" t="s">
        <v>174</v>
      </c>
      <c r="C20" s="42">
        <v>1</v>
      </c>
    </row>
    <row r="21" spans="1:7">
      <c r="B21" s="41" t="s">
        <v>175</v>
      </c>
      <c r="C21" s="42">
        <v>26</v>
      </c>
    </row>
    <row r="22" spans="1:7">
      <c r="B22" s="43" t="s">
        <v>176</v>
      </c>
      <c r="C22" s="44">
        <v>0</v>
      </c>
    </row>
    <row r="23" spans="1:7" ht="15">
      <c r="A23" s="4" t="s">
        <v>177</v>
      </c>
      <c r="B23" s="36" t="s">
        <v>178</v>
      </c>
      <c r="C23" s="37"/>
    </row>
    <row r="24" spans="1:7">
      <c r="B24" s="45" t="s">
        <v>247</v>
      </c>
      <c r="C24" s="46">
        <v>200</v>
      </c>
    </row>
    <row r="25" spans="1:7">
      <c r="B25" s="41" t="s">
        <v>248</v>
      </c>
      <c r="C25" s="42">
        <v>5147</v>
      </c>
    </row>
    <row r="26" spans="1:7">
      <c r="B26" s="41" t="s">
        <v>249</v>
      </c>
      <c r="C26" s="42">
        <v>-1242</v>
      </c>
    </row>
    <row r="27" spans="1:7">
      <c r="B27" s="47"/>
      <c r="C27" s="48"/>
    </row>
    <row r="28" spans="1:7" ht="15">
      <c r="B28" s="49" t="s">
        <v>179</v>
      </c>
      <c r="C28" s="50">
        <f>MEDIAN(C13,C14)/MEDIAN(C24,C25)</f>
        <v>0.76715915466616791</v>
      </c>
      <c r="G28" s="4">
        <f>12/C28</f>
        <v>15.642125792296442</v>
      </c>
    </row>
    <row r="29" spans="1:7" ht="15">
      <c r="B29" s="38" t="s">
        <v>180</v>
      </c>
      <c r="C29" s="50">
        <f>C16/MEDIAN(C24,C25)</f>
        <v>0.39274359453899382</v>
      </c>
    </row>
    <row r="30" spans="1:7" ht="15">
      <c r="B30" s="51" t="s">
        <v>181</v>
      </c>
      <c r="C30" s="38">
        <v>360</v>
      </c>
    </row>
    <row r="31" spans="1:7" ht="15">
      <c r="B31" s="38" t="s">
        <v>182</v>
      </c>
      <c r="C31" s="38">
        <v>10</v>
      </c>
    </row>
    <row r="32" spans="1:7" ht="15">
      <c r="B32" s="38" t="s">
        <v>183</v>
      </c>
      <c r="C32" s="38">
        <v>30</v>
      </c>
      <c r="G32" s="4">
        <f>TRUNC(G37)</f>
        <v>3</v>
      </c>
    </row>
    <row r="33" spans="2:11" ht="15">
      <c r="B33" s="38" t="s">
        <v>184</v>
      </c>
      <c r="C33" s="38">
        <v>30</v>
      </c>
    </row>
    <row r="34" spans="2:11" s="35" customFormat="1" ht="15">
      <c r="B34" s="38" t="s">
        <v>185</v>
      </c>
      <c r="C34" s="38">
        <f>MEDIAN(C24,C25)</f>
        <v>2673.5</v>
      </c>
    </row>
    <row r="35" spans="2:11" s="35" customFormat="1" ht="15">
      <c r="B35" s="38" t="s">
        <v>121</v>
      </c>
      <c r="C35" s="52">
        <v>0.08</v>
      </c>
      <c r="K35" s="35">
        <f>IF(C39&gt;12,C39-12,C39)</f>
        <v>3.6421257922964418</v>
      </c>
    </row>
    <row r="36" spans="2:11" s="35" customFormat="1" ht="15">
      <c r="B36" s="38" t="s">
        <v>186</v>
      </c>
      <c r="C36" s="52">
        <v>0.5</v>
      </c>
      <c r="K36" s="35" t="e">
        <f>IF(#REF!&gt;12,#REF!-12,#REF!)</f>
        <v>#REF!</v>
      </c>
    </row>
    <row r="37" spans="2:11" s="35" customFormat="1" ht="15">
      <c r="B37" s="38" t="s">
        <v>187</v>
      </c>
      <c r="C37" s="50">
        <f>((1/C28)-TRUNC(E37))</f>
        <v>0.30351048269137015</v>
      </c>
      <c r="D37" s="35">
        <f>TRUNC(E37)</f>
        <v>1</v>
      </c>
      <c r="E37" s="35">
        <f>1/C28</f>
        <v>1.3035104826913702</v>
      </c>
      <c r="F37" s="35">
        <f>((1/C28)-TRUNC(E37))</f>
        <v>0.30351048269137015</v>
      </c>
      <c r="G37" s="35">
        <f>12*F37</f>
        <v>3.6421257922964418</v>
      </c>
      <c r="K37" s="35" t="e">
        <f>IF(#REF!&gt;12,#REF!-12,#REF!)</f>
        <v>#REF!</v>
      </c>
    </row>
    <row r="38" spans="2:11" s="35" customFormat="1" ht="15">
      <c r="B38" s="36" t="s">
        <v>188</v>
      </c>
      <c r="C38" s="40">
        <f>30+D38</f>
        <v>33</v>
      </c>
      <c r="D38" s="35">
        <f>3*D37</f>
        <v>3</v>
      </c>
      <c r="G38" s="35">
        <f>G37/12*40/360</f>
        <v>3.3723386965707793E-2</v>
      </c>
      <c r="K38" s="35" t="e">
        <f>IF(#REF!&gt;12,#REF!-12,#REF!)</f>
        <v>#REF!</v>
      </c>
    </row>
    <row r="39" spans="2:11" s="35" customFormat="1" ht="15">
      <c r="B39" s="53" t="s">
        <v>189</v>
      </c>
      <c r="C39" s="54">
        <f>12/C28</f>
        <v>15.642125792296442</v>
      </c>
      <c r="K39" s="35" t="e">
        <f>IF(#REF!&gt;12,#REF!-12,#REF!)</f>
        <v>#REF!</v>
      </c>
    </row>
    <row r="40" spans="2:11">
      <c r="K40" s="4" t="e">
        <f>IF(K39&gt;12,K39-12,K39)</f>
        <v>#REF!</v>
      </c>
    </row>
    <row r="41" spans="2:11">
      <c r="K41" s="4" t="e">
        <f>IF(K40&gt;12,K40-12,K40)</f>
        <v>#REF!</v>
      </c>
    </row>
  </sheetData>
  <mergeCells count="3">
    <mergeCell ref="A5:C5"/>
    <mergeCell ref="A7:C7"/>
    <mergeCell ref="B11:C11"/>
  </mergeCells>
  <pageMargins left="0.905555555555556" right="0.51180555555555496" top="0.74791666666666701" bottom="0.74791666666666701" header="0.74791666666666701" footer="0.74791666666666701"/>
  <pageSetup paperSize="9" scale="98" firstPageNumber="0" orientation="portrait" horizontalDpi="300" verticalDpi="30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33"/>
  <sheetViews>
    <sheetView zoomScaleNormal="100" zoomScalePageLayoutView="60" workbookViewId="0">
      <selection activeCell="C13" sqref="C13"/>
    </sheetView>
  </sheetViews>
  <sheetFormatPr defaultRowHeight="14.25"/>
  <cols>
    <col min="1" max="1" width="38.125" style="55" customWidth="1"/>
    <col min="2" max="2" width="5" style="55" customWidth="1"/>
    <col min="3" max="3" width="7.875" style="55" customWidth="1"/>
    <col min="4" max="4" width="8.875" style="55" customWidth="1"/>
    <col min="5" max="5" width="7.25" style="56" customWidth="1"/>
    <col min="6" max="6" width="8.875" style="55" customWidth="1"/>
    <col min="7" max="1023" width="7.875" style="55" customWidth="1"/>
    <col min="1024" max="1025" width="8.875" style="55" customWidth="1"/>
  </cols>
  <sheetData>
    <row r="1" spans="1:8" s="58" customFormat="1">
      <c r="A1" s="2" t="s">
        <v>0</v>
      </c>
      <c r="B1" s="57"/>
      <c r="C1" s="57"/>
      <c r="E1" s="59"/>
    </row>
    <row r="2" spans="1:8" s="58" customFormat="1">
      <c r="A2" s="3" t="s">
        <v>190</v>
      </c>
      <c r="B2" s="57"/>
      <c r="C2" s="57"/>
      <c r="E2" s="59"/>
    </row>
    <row r="3" spans="1:8" s="58" customFormat="1">
      <c r="A3" s="1" t="s">
        <v>2</v>
      </c>
      <c r="B3" s="57"/>
      <c r="C3" s="57"/>
      <c r="E3" s="59"/>
    </row>
    <row r="4" spans="1:8" s="58" customFormat="1">
      <c r="A4" s="3"/>
      <c r="B4" s="57"/>
      <c r="C4" s="57"/>
      <c r="E4" s="59"/>
    </row>
    <row r="5" spans="1:8" s="58" customFormat="1">
      <c r="B5" s="57"/>
      <c r="C5" s="57"/>
      <c r="E5" s="59"/>
    </row>
    <row r="6" spans="1:8" ht="15.75">
      <c r="A6" s="198" t="s">
        <v>191</v>
      </c>
      <c r="B6" s="198"/>
      <c r="C6" s="198"/>
      <c r="D6" s="198"/>
      <c r="E6" s="198"/>
      <c r="F6" s="198"/>
    </row>
    <row r="7" spans="1:8" ht="15.75">
      <c r="A7" s="60"/>
      <c r="B7" s="61"/>
      <c r="C7" s="61"/>
      <c r="D7" s="61"/>
      <c r="E7" s="61"/>
      <c r="F7" s="62"/>
    </row>
    <row r="8" spans="1:8" ht="15">
      <c r="A8" s="63"/>
      <c r="B8" s="57"/>
      <c r="C8" s="57"/>
      <c r="D8" s="199" t="s">
        <v>192</v>
      </c>
      <c r="E8" s="199"/>
      <c r="F8" s="199"/>
      <c r="G8" s="58"/>
      <c r="H8" s="58"/>
    </row>
    <row r="9" spans="1:8">
      <c r="A9" s="47"/>
      <c r="B9" s="58"/>
      <c r="C9" s="58"/>
      <c r="D9" s="64" t="s">
        <v>193</v>
      </c>
      <c r="E9" s="65" t="s">
        <v>194</v>
      </c>
      <c r="F9" s="64" t="s">
        <v>195</v>
      </c>
      <c r="G9" s="58"/>
      <c r="H9" s="58"/>
    </row>
    <row r="10" spans="1:8">
      <c r="A10" s="66" t="s">
        <v>196</v>
      </c>
      <c r="B10" s="67" t="s">
        <v>197</v>
      </c>
      <c r="C10" s="68">
        <v>0.01</v>
      </c>
      <c r="D10" s="69">
        <v>2.9700000000000001E-2</v>
      </c>
      <c r="E10" s="69">
        <v>5.0799999999999998E-2</v>
      </c>
      <c r="F10" s="69">
        <v>6.2700000000000006E-2</v>
      </c>
      <c r="G10" s="58"/>
      <c r="H10" s="58"/>
    </row>
    <row r="11" spans="1:8">
      <c r="A11" s="66" t="s">
        <v>198</v>
      </c>
      <c r="B11" s="67" t="s">
        <v>199</v>
      </c>
      <c r="C11" s="68">
        <v>1.3299999999999999E-2</v>
      </c>
      <c r="D11" s="69">
        <f>0.3%+0.56%</f>
        <v>8.6E-3</v>
      </c>
      <c r="E11" s="69">
        <f>0.48%+0.85%</f>
        <v>1.3299999999999999E-2</v>
      </c>
      <c r="F11" s="69">
        <f>0.82%+0.89%</f>
        <v>1.7099999999999997E-2</v>
      </c>
      <c r="G11" s="58"/>
      <c r="H11" s="58"/>
    </row>
    <row r="12" spans="1:8">
      <c r="A12" s="66" t="s">
        <v>200</v>
      </c>
      <c r="B12" s="67" t="s">
        <v>201</v>
      </c>
      <c r="C12" s="68">
        <v>0.04</v>
      </c>
      <c r="D12" s="69">
        <v>7.7799999999999994E-2</v>
      </c>
      <c r="E12" s="69">
        <v>0.1085</v>
      </c>
      <c r="F12" s="69">
        <v>0.13550000000000001</v>
      </c>
      <c r="G12" s="58"/>
      <c r="H12" s="58"/>
    </row>
    <row r="13" spans="1:8">
      <c r="A13" s="66" t="s">
        <v>202</v>
      </c>
      <c r="B13" s="67" t="s">
        <v>203</v>
      </c>
      <c r="C13" s="70">
        <f>(1+E13)^(E14/252)-1</f>
        <v>1.3253184673551743E-3</v>
      </c>
      <c r="D13" s="69" t="s">
        <v>204</v>
      </c>
      <c r="E13" s="71">
        <v>2.2499999999999999E-2</v>
      </c>
      <c r="F13" s="72"/>
      <c r="G13" s="58"/>
      <c r="H13" s="58"/>
    </row>
    <row r="14" spans="1:8">
      <c r="A14" s="66" t="s">
        <v>205</v>
      </c>
      <c r="B14" s="200" t="s">
        <v>206</v>
      </c>
      <c r="C14" s="68">
        <v>0.02</v>
      </c>
      <c r="D14" s="73" t="s">
        <v>207</v>
      </c>
      <c r="E14" s="74">
        <v>15</v>
      </c>
      <c r="F14" s="41"/>
      <c r="G14" s="58"/>
      <c r="H14" s="58"/>
    </row>
    <row r="15" spans="1:8">
      <c r="A15" s="66" t="s">
        <v>208</v>
      </c>
      <c r="B15" s="200"/>
      <c r="C15" s="68">
        <v>3.6499999999999998E-2</v>
      </c>
      <c r="D15" s="41"/>
      <c r="E15" s="75"/>
      <c r="F15" s="41"/>
      <c r="G15" s="58"/>
      <c r="H15" s="58"/>
    </row>
    <row r="16" spans="1:8">
      <c r="A16" s="76" t="s">
        <v>209</v>
      </c>
      <c r="B16" s="77"/>
      <c r="C16" s="78"/>
      <c r="D16" s="41"/>
      <c r="E16" s="75"/>
      <c r="F16" s="41"/>
      <c r="G16" s="58"/>
      <c r="H16" s="58"/>
    </row>
    <row r="17" spans="1:8">
      <c r="A17" s="79" t="s">
        <v>210</v>
      </c>
      <c r="B17" s="80"/>
      <c r="C17" s="81"/>
      <c r="D17" s="41"/>
      <c r="E17" s="75"/>
      <c r="F17" s="41"/>
      <c r="G17" s="58"/>
      <c r="H17" s="58"/>
    </row>
    <row r="18" spans="1:8" ht="15">
      <c r="A18" s="82" t="s">
        <v>211</v>
      </c>
      <c r="B18" s="83"/>
      <c r="C18" s="84">
        <f>ROUND((((1+C10+C11)*(1+C12)*(1+C13))/(1-(C14+C15))-1),4)</f>
        <v>0.1295</v>
      </c>
      <c r="D18" s="69">
        <v>0.21429999999999999</v>
      </c>
      <c r="E18" s="69">
        <v>0.2717</v>
      </c>
      <c r="F18" s="69">
        <v>0.3362</v>
      </c>
      <c r="G18" s="58"/>
      <c r="H18" s="58"/>
    </row>
    <row r="19" spans="1:8">
      <c r="A19" s="58"/>
      <c r="B19" s="58"/>
      <c r="C19" s="58"/>
      <c r="D19" s="58"/>
      <c r="E19" s="59"/>
      <c r="F19" s="58"/>
      <c r="G19" s="58"/>
      <c r="H19" s="58"/>
    </row>
    <row r="20" spans="1:8">
      <c r="A20" s="58"/>
      <c r="B20" s="58"/>
      <c r="C20" s="58"/>
      <c r="D20" s="58"/>
      <c r="E20" s="59"/>
      <c r="F20" s="58"/>
      <c r="G20" s="58"/>
      <c r="H20" s="58"/>
    </row>
    <row r="21" spans="1:8">
      <c r="A21" s="58"/>
      <c r="B21" s="58"/>
      <c r="C21" s="58"/>
      <c r="D21" s="58"/>
      <c r="E21" s="59"/>
      <c r="F21" s="58"/>
      <c r="G21" s="58"/>
      <c r="H21" s="58"/>
    </row>
    <row r="22" spans="1:8">
      <c r="A22" s="58"/>
      <c r="B22" s="58"/>
      <c r="C22" s="58"/>
      <c r="D22" s="58"/>
      <c r="E22" s="59"/>
      <c r="F22" s="58"/>
      <c r="G22" s="58"/>
      <c r="H22" s="58"/>
    </row>
    <row r="33" spans="15:15">
      <c r="O33" s="55">
        <v>3.65</v>
      </c>
    </row>
  </sheetData>
  <mergeCells count="3">
    <mergeCell ref="A6:F6"/>
    <mergeCell ref="D8:F8"/>
    <mergeCell ref="B14:B15"/>
  </mergeCells>
  <pageMargins left="0.905555555555556" right="0.51180555555555496" top="0.74791666666666701" bottom="0.74791666666666701" header="0.74791666666666701" footer="0.74791666666666701"/>
  <pageSetup paperSize="9" firstPageNumber="0" orientation="portrait" horizontalDpi="300" verticalDpi="300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7"/>
  <sheetViews>
    <sheetView zoomScaleNormal="100" zoomScalePageLayoutView="60" workbookViewId="0">
      <selection sqref="A1:B1"/>
    </sheetView>
  </sheetViews>
  <sheetFormatPr defaultRowHeight="14.25"/>
  <cols>
    <col min="1" max="1" width="22.375" style="4" customWidth="1"/>
    <col min="2" max="2" width="19.125" style="4" customWidth="1"/>
    <col min="3" max="1023" width="8.375" style="4" customWidth="1"/>
    <col min="1024" max="1025" width="8.875" style="4" customWidth="1"/>
  </cols>
  <sheetData>
    <row r="1" spans="1:2" ht="19.5" customHeight="1">
      <c r="A1" s="201" t="s">
        <v>212</v>
      </c>
      <c r="B1" s="201"/>
    </row>
    <row r="2" spans="1:2" s="35" customFormat="1" ht="19.5" customHeight="1">
      <c r="A2" s="85" t="s">
        <v>213</v>
      </c>
      <c r="B2" s="86" t="s">
        <v>214</v>
      </c>
    </row>
    <row r="3" spans="1:2" ht="19.5" customHeight="1">
      <c r="A3" s="87">
        <v>1</v>
      </c>
      <c r="B3" s="88">
        <v>33.630000000000003</v>
      </c>
    </row>
    <row r="4" spans="1:2" ht="19.5" customHeight="1">
      <c r="A4" s="87">
        <v>2</v>
      </c>
      <c r="B4" s="88">
        <v>43.13</v>
      </c>
    </row>
    <row r="5" spans="1:2" ht="19.5" customHeight="1">
      <c r="A5" s="87">
        <v>3</v>
      </c>
      <c r="B5" s="88">
        <v>48.68</v>
      </c>
    </row>
    <row r="6" spans="1:2" ht="19.5" customHeight="1">
      <c r="A6" s="87">
        <v>4</v>
      </c>
      <c r="B6" s="88">
        <v>52.62</v>
      </c>
    </row>
    <row r="7" spans="1:2" ht="19.5" customHeight="1">
      <c r="A7" s="87">
        <v>5</v>
      </c>
      <c r="B7" s="88">
        <v>55.68</v>
      </c>
    </row>
    <row r="8" spans="1:2" ht="19.5" customHeight="1">
      <c r="A8" s="87">
        <v>6</v>
      </c>
      <c r="B8" s="88">
        <v>58.18</v>
      </c>
    </row>
    <row r="9" spans="1:2" ht="19.5" customHeight="1">
      <c r="A9" s="87">
        <v>7</v>
      </c>
      <c r="B9" s="88">
        <v>60.29</v>
      </c>
    </row>
    <row r="10" spans="1:2" ht="19.5" customHeight="1">
      <c r="A10" s="87">
        <v>8</v>
      </c>
      <c r="B10" s="88">
        <v>62.12</v>
      </c>
    </row>
    <row r="11" spans="1:2" ht="19.5" customHeight="1">
      <c r="A11" s="87">
        <v>9</v>
      </c>
      <c r="B11" s="88">
        <v>63.73</v>
      </c>
    </row>
    <row r="12" spans="1:2" ht="19.5" customHeight="1">
      <c r="A12" s="87">
        <v>10</v>
      </c>
      <c r="B12" s="88">
        <v>65.180000000000007</v>
      </c>
    </row>
    <row r="13" spans="1:2" ht="19.5" customHeight="1">
      <c r="A13" s="87">
        <v>11</v>
      </c>
      <c r="B13" s="88">
        <v>66.48</v>
      </c>
    </row>
    <row r="14" spans="1:2" ht="19.5" customHeight="1">
      <c r="A14" s="87">
        <v>12</v>
      </c>
      <c r="B14" s="88">
        <v>67.67</v>
      </c>
    </row>
    <row r="15" spans="1:2" ht="19.5" customHeight="1">
      <c r="A15" s="87">
        <v>13</v>
      </c>
      <c r="B15" s="88">
        <v>68.77</v>
      </c>
    </row>
    <row r="16" spans="1:2" ht="19.5" customHeight="1">
      <c r="A16" s="87">
        <v>14</v>
      </c>
      <c r="B16" s="88">
        <v>69.790000000000006</v>
      </c>
    </row>
    <row r="17" spans="1:2" ht="19.5" customHeight="1">
      <c r="A17" s="87">
        <v>15</v>
      </c>
      <c r="B17" s="88">
        <v>70.73</v>
      </c>
    </row>
  </sheetData>
  <mergeCells count="1">
    <mergeCell ref="A1:B1"/>
  </mergeCells>
  <pageMargins left="0.905555555555556" right="0.51180555555555496" top="0.74791666666666701" bottom="0.74791666666666701" header="0.74791666666666701" footer="0.74791666666666701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7"/>
  <sheetViews>
    <sheetView zoomScaleNormal="100" zoomScalePageLayoutView="60" workbookViewId="0"/>
  </sheetViews>
  <sheetFormatPr defaultRowHeight="14.25"/>
  <cols>
    <col min="1" max="1" width="64.25" style="4" customWidth="1"/>
    <col min="2" max="3" width="8.375" style="4" customWidth="1"/>
    <col min="4" max="4" width="11.75" style="4" customWidth="1"/>
    <col min="5" max="1023" width="8.375" style="4" customWidth="1"/>
    <col min="1024" max="1025" width="8.875" style="4" customWidth="1"/>
  </cols>
  <sheetData>
    <row r="1" spans="1:1" ht="18">
      <c r="A1" s="89" t="s">
        <v>215</v>
      </c>
    </row>
    <row r="2" spans="1:1">
      <c r="A2" s="90"/>
    </row>
    <row r="3" spans="1:1">
      <c r="A3" s="90" t="s">
        <v>216</v>
      </c>
    </row>
    <row r="4" spans="1:1">
      <c r="A4" s="90"/>
    </row>
    <row r="5" spans="1:1">
      <c r="A5" s="90"/>
    </row>
    <row r="6" spans="1:1">
      <c r="A6" s="90"/>
    </row>
    <row r="7" spans="1:1">
      <c r="A7" s="90"/>
    </row>
    <row r="8" spans="1:1">
      <c r="A8" s="90"/>
    </row>
    <row r="9" spans="1:1">
      <c r="A9" s="90"/>
    </row>
    <row r="10" spans="1:1">
      <c r="A10" s="90"/>
    </row>
    <row r="11" spans="1:1">
      <c r="A11" s="90"/>
    </row>
    <row r="12" spans="1:1" ht="19.5">
      <c r="A12" s="91" t="s">
        <v>217</v>
      </c>
    </row>
    <row r="13" spans="1:1" ht="15">
      <c r="A13" s="91" t="s">
        <v>218</v>
      </c>
    </row>
    <row r="14" spans="1:1" ht="15">
      <c r="A14" s="91" t="s">
        <v>219</v>
      </c>
    </row>
    <row r="15" spans="1:1" ht="19.5">
      <c r="A15" s="91" t="s">
        <v>220</v>
      </c>
    </row>
    <row r="16" spans="1:1" ht="19.5">
      <c r="A16" s="91" t="s">
        <v>221</v>
      </c>
    </row>
    <row r="17" spans="1:1" ht="15">
      <c r="A17" s="92" t="s">
        <v>222</v>
      </c>
    </row>
  </sheetData>
  <pageMargins left="0.905555555555556" right="0.51180555555555496" top="0.74791666666666701" bottom="0.74791666666666701" header="0.74791666666666701" footer="0.74791666666666701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21"/>
  <sheetViews>
    <sheetView zoomScaleNormal="100" zoomScalePageLayoutView="60" workbookViewId="0"/>
  </sheetViews>
  <sheetFormatPr defaultRowHeight="14.25"/>
  <cols>
    <col min="1" max="1" width="53.125" style="4" customWidth="1"/>
    <col min="2" max="2" width="10.25" style="4" customWidth="1"/>
    <col min="3" max="3" width="10.375" style="4" customWidth="1"/>
    <col min="4" max="1023" width="8.375" style="4" customWidth="1"/>
    <col min="1024" max="1025" width="8.875" style="4" customWidth="1"/>
  </cols>
  <sheetData>
    <row r="1" spans="1:3">
      <c r="A1" s="2" t="s">
        <v>0</v>
      </c>
    </row>
    <row r="2" spans="1:3">
      <c r="A2" s="3" t="s">
        <v>223</v>
      </c>
    </row>
    <row r="3" spans="1:3">
      <c r="A3" s="3" t="s">
        <v>224</v>
      </c>
    </row>
    <row r="4" spans="1:3">
      <c r="A4" s="1" t="s">
        <v>225</v>
      </c>
    </row>
    <row r="6" spans="1:3" ht="18">
      <c r="A6" s="197" t="s">
        <v>226</v>
      </c>
      <c r="B6" s="197"/>
      <c r="C6" s="197"/>
    </row>
    <row r="7" spans="1:3" s="94" customFormat="1" ht="18">
      <c r="A7" s="93"/>
      <c r="B7" s="93"/>
      <c r="C7" s="93"/>
    </row>
    <row r="8" spans="1:3" s="35" customFormat="1" ht="15">
      <c r="A8" s="40" t="s">
        <v>227</v>
      </c>
      <c r="B8" s="40" t="s">
        <v>228</v>
      </c>
      <c r="C8" s="40" t="s">
        <v>105</v>
      </c>
    </row>
    <row r="9" spans="1:3">
      <c r="A9" s="95" t="s">
        <v>229</v>
      </c>
      <c r="B9" s="95" t="s">
        <v>230</v>
      </c>
      <c r="C9" s="42">
        <v>20168</v>
      </c>
    </row>
    <row r="10" spans="1:3">
      <c r="A10" s="41" t="s">
        <v>231</v>
      </c>
      <c r="B10" s="41" t="s">
        <v>232</v>
      </c>
      <c r="C10" s="96">
        <f>0.0362741*C9^0.2336249</f>
        <v>0.36751330785254366</v>
      </c>
    </row>
    <row r="11" spans="1:3">
      <c r="A11" s="41" t="s">
        <v>233</v>
      </c>
      <c r="B11" s="41" t="s">
        <v>234</v>
      </c>
      <c r="C11" s="97">
        <f>C9*C10/1000</f>
        <v>7.412008392770101</v>
      </c>
    </row>
    <row r="12" spans="1:3">
      <c r="A12" s="41" t="s">
        <v>235</v>
      </c>
      <c r="B12" s="41" t="s">
        <v>92</v>
      </c>
      <c r="C12" s="98">
        <f>(C11*30)</f>
        <v>222.36025178310302</v>
      </c>
    </row>
    <row r="13" spans="1:3">
      <c r="A13" s="41" t="s">
        <v>236</v>
      </c>
      <c r="B13" s="41" t="s">
        <v>60</v>
      </c>
      <c r="C13" s="99">
        <v>6</v>
      </c>
    </row>
    <row r="14" spans="1:3">
      <c r="A14" s="41" t="s">
        <v>237</v>
      </c>
      <c r="B14" s="41" t="s">
        <v>234</v>
      </c>
      <c r="C14" s="97">
        <f>IFERROR(C11*7/C13,0)</f>
        <v>8.64734312489845</v>
      </c>
    </row>
    <row r="15" spans="1:3">
      <c r="A15" s="95" t="s">
        <v>238</v>
      </c>
      <c r="B15" s="41" t="s">
        <v>239</v>
      </c>
      <c r="C15" s="41">
        <v>500</v>
      </c>
    </row>
    <row r="16" spans="1:3">
      <c r="A16" s="41" t="s">
        <v>240</v>
      </c>
      <c r="B16" s="41"/>
      <c r="C16" s="42">
        <v>1</v>
      </c>
    </row>
    <row r="17" spans="1:3">
      <c r="A17" s="95" t="s">
        <v>241</v>
      </c>
      <c r="B17" s="41" t="s">
        <v>242</v>
      </c>
      <c r="C17" s="42">
        <v>15</v>
      </c>
    </row>
    <row r="18" spans="1:3">
      <c r="A18" s="41" t="s">
        <v>243</v>
      </c>
      <c r="B18" s="41" t="s">
        <v>92</v>
      </c>
      <c r="C18" s="41">
        <f>IF(AND(C17&gt;=15,C16=1),5.8,C17/2)</f>
        <v>5.8</v>
      </c>
    </row>
    <row r="19" spans="1:3">
      <c r="A19" s="95" t="s">
        <v>244</v>
      </c>
      <c r="B19" s="41"/>
      <c r="C19" s="97">
        <f>IFERROR(C14/C18,0)</f>
        <v>1.4909212284307674</v>
      </c>
    </row>
    <row r="20" spans="1:3">
      <c r="A20" s="95" t="s">
        <v>245</v>
      </c>
      <c r="B20" s="41"/>
      <c r="C20" s="100">
        <v>2</v>
      </c>
    </row>
    <row r="21" spans="1:3">
      <c r="A21" s="95" t="s">
        <v>246</v>
      </c>
      <c r="B21" s="41"/>
      <c r="C21" s="97">
        <f>IFERROR(C19/C20,0)</f>
        <v>0.74546061421538368</v>
      </c>
    </row>
  </sheetData>
  <mergeCells count="1">
    <mergeCell ref="A6:C6"/>
  </mergeCells>
  <pageMargins left="0.51180555555555496" right="0.51180555555555496" top="0.78749999999999998" bottom="0.78749999999999998" header="0.78749999999999998" footer="0.78749999999999998"/>
  <pageSetup paperSize="9" firstPageNumber="0" orientation="portrait" horizontalDpi="300" verticalDpi="30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1__Serviços_zeladoria</vt:lpstr>
      <vt:lpstr>2_Encargos_Sociais</vt:lpstr>
      <vt:lpstr>3_CAGED</vt:lpstr>
      <vt:lpstr>4_BDI</vt:lpstr>
      <vt:lpstr>5__Depreciação</vt:lpstr>
      <vt:lpstr>6_Remuneração_de_capital</vt:lpstr>
      <vt:lpstr>7__Dimensionamento</vt:lpstr>
      <vt:lpstr>AbaDeprec</vt:lpstr>
      <vt:lpstr>AbaRemun</vt:lpstr>
      <vt:lpstr>'1__Serviços_zeladoria'!Area_de_impressao</vt:lpstr>
      <vt:lpstr>'1__Serviços_zeladoria'!Print_Area</vt:lpstr>
      <vt:lpstr>'2_Encargos_Sociais'!Print_Area</vt:lpstr>
    </vt:vector>
  </TitlesOfParts>
  <Company>dmlu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evandreia</dc:creator>
  <cp:lastModifiedBy>evandreia</cp:lastModifiedBy>
  <cp:revision>0</cp:revision>
  <cp:lastPrinted>2022-01-14T16:22:55Z</cp:lastPrinted>
  <dcterms:created xsi:type="dcterms:W3CDTF">2000-12-13T10:02:50Z</dcterms:created>
  <dcterms:modified xsi:type="dcterms:W3CDTF">2022-01-14T16:36:00Z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dmlu</vt:lpwstr>
  </property>
</Properties>
</file>